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" sheetId="1" r:id="rId1"/>
    <sheet name="Markkinahinnat" sheetId="2" r:id="rId2"/>
    <sheet name="Token pieni" sheetId="3" r:id="rId3"/>
    <sheet name="Token suuri" sheetId="4" r:id="rId4"/>
    <sheet name="Tieto pieni" sheetId="5" r:id="rId5"/>
    <sheet name="Tieto suuri" sheetId="6" r:id="rId6"/>
    <sheet name="Yhdistelmä pieni" sheetId="7" r:id="rId7"/>
    <sheet name="Yhdistelmä suuri" sheetId="8" r:id="rId8"/>
    <sheet name="Virtuaali pieni" sheetId="9" r:id="rId9"/>
    <sheet name="Virtuaali suuri" sheetId="10" r:id="rId10"/>
    <sheet name="Yhteenveto" sheetId="11" r:id="rId11"/>
  </sheets>
  <calcPr calcId="19102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# ##0 €;[Red]-# ##0 €"/>
  </numFmts>
  <fonts count="3">
    <font>
      <sz val="11"/>
      <name val="Aptos"/>
    </font>
    <font>
      <b/>
      <sz val="16"/>
      <name val="Aptos Display"/>
    </font>
    <font>
      <b/>
      <sz val="11"/>
      <color rgb="FFFFFFFF"/>
      <name val="Aptos"/>
    </font>
  </fonts>
  <fills count="4">
    <fill>
      <patternFill patternType="none"/>
    </fill>
    <fill>
      <patternFill patternType="gray125"/>
    </fill>
    <fill>
      <patternFill patternType="solid">
        <fgColor rgb="FF17324D"/>
        <bgColor indexed="64"/>
      </patternFill>
    </fill>
    <fill>
      <patternFill patternType="solid">
        <fgColor rgb="FFDDEB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>
      <alignment wrapText="1"/>
    </xf>
    <xf numFmtId="164" fontId="0" fillId="0" borderId="0" xfId="0" applyNumberFormat="1"/>
    <xf numFmtId="10" fontId="0" fillId="0" borderId="0" xfId="0" applyNumberFormat="1"/>
    <xf numFmtId="0" fontId="0" fillId="0" borderId="0" xfId="0"/>
    <xf numFmtId="0" fontId="0" fillId="3" borderId="0" xfId="0" applyFill="1"/>
    <xf numFmtId="164" fontId="0" fillId="3" borderId="0" xfId="0" applyFill="1" applyNumberFormat="1"/>
    <xf numFmtId="10" fontId="0" fillId="3" borderId="0" xfId="0" applyFill="1" applyNumberFormat="1"/>
  </cellXfs>
  <cellStyles count="1">
    <cellStyle name="Normaali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0" customWidth="1"/>
    <col min="2" max="2" width="105" customWidth="1"/>
  </cols>
  <sheetData>
    <row r="1">
      <c r="A1" s="1" t="inlineStr">
        <is>
          <t>Tekoälyoperaattorimallien talousmallit</t>
        </is>
      </c>
    </row>
    <row r="3">
      <c r="A3" s="2" t="inlineStr">
        <is>
          <t>Tila</t>
        </is>
      </c>
      <c r="B3" t="inlineStr">
        <is>
          <t>Tutkimusluonnos — kaupalliset luvut ovat hypoteeseja</t>
        </is>
      </c>
    </row>
    <row r="4">
      <c r="A4" s="2" t="inlineStr">
        <is>
          <t>Versio</t>
        </is>
      </c>
      <c r="B4" t="inlineStr">
        <is>
          <t>0.3</t>
        </is>
      </c>
    </row>
    <row r="5">
      <c r="A5" s="2" t="inlineStr">
        <is>
          <t>Päivitetty</t>
        </is>
      </c>
      <c r="B5" t="inlineStr">
        <is>
          <t>2026-09-01</t>
        </is>
      </c>
    </row>
    <row r="7">
      <c r="A7" s="1" t="inlineStr">
        <is>
          <t>Mallien rakenne</t>
        </is>
      </c>
    </row>
    <row r="8">
      <c r="A8" s="2" t="inlineStr">
        <is>
          <t>Tokenoperaattori</t>
        </is>
      </c>
      <c r="B8" t="inlineStr">
        <is>
          <t>Avoimen mallin työkapasiteetti; ei pysyvää asiakastietoa</t>
        </is>
      </c>
    </row>
    <row r="9">
      <c r="A9" s="2" t="inlineStr">
        <is>
          <t>Tieto-operaattori</t>
        </is>
      </c>
      <c r="B9" t="inlineStr">
        <is>
          <t>Omistajakohtainen, avoin ja siirrettävä tietoydin</t>
        </is>
      </c>
    </row>
    <row r="10">
      <c r="A10" s="2" t="inlineStr">
        <is>
          <t>Yhdistelmäoperaattori</t>
        </is>
      </c>
      <c r="B10" t="inlineStr">
        <is>
          <t>Molemmat palvelut erillisinä teknisinä ja laskutettavina kerroksina</t>
        </is>
      </c>
    </row>
    <row r="11">
      <c r="A11" s="2" t="inlineStr">
        <is>
          <t>Virtuaalioperaattori</t>
        </is>
      </c>
      <c r="B11" t="inlineStr">
        <is>
          <t>Oma asiakassuhde ja tuotteistus tukkuinfrastruktuurin päällä</t>
        </is>
      </c>
    </row>
    <row r="13">
      <c r="A13" s="1" t="inlineStr">
        <is>
          <t>Käyttöohje</t>
        </is>
      </c>
    </row>
    <row r="14">
      <c r="A14" t="inlineStr">
        <is>
          <t>Muuta sinisiä lähtöarvoja oletustiedostossa ja muodosta työkirja uudelleen komennolla npm run generate:operator-business-model.</t>
        </is>
      </c>
    </row>
    <row r="15">
      <c r="A15" t="inlineStr">
        <is>
          <t>Käyttökate ei sisällä poistoja, korkoja eikä veroja. Tokenmallien kassavirta sisältää oletetun laiterahoituksen vuosimaksun.</t>
        </is>
      </c>
    </row>
  </sheetData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1" topLeftCell="A3" activePane="bottomLeft" state="frozen"/>
    </sheetView>
  </sheetViews>
  <cols>
    <col min="1" max="1" width="52" customWidth="1"/>
    <col min="2" max="2" width="35" customWidth="1"/>
    <col min="3" max="3" width="14" customWidth="1"/>
    <col min="4" max="4" width="14" customWidth="1"/>
    <col min="5" max="5" width="75" customWidth="1"/>
  </cols>
  <sheetData>
    <row r="1">
      <c r="A1" s="1" t="inlineStr">
        <is>
          <t>Päivätyt markkinahintojen vertailut</t>
        </is>
      </c>
    </row>
    <row r="2">
      <c r="A2" s="2" t="inlineStr">
        <is>
          <t>Nimi</t>
        </is>
      </c>
      <c r="B2" s="2" t="inlineStr">
        <is>
          <t>Yksikkö</t>
        </is>
      </c>
      <c r="C2" s="2" t="inlineStr">
        <is>
          <t>Hinta</t>
        </is>
      </c>
      <c r="D2" s="2" t="inlineStr">
        <is>
          <t>Päivitetty</t>
        </is>
      </c>
      <c r="E2" s="2" t="inlineStr">
        <is>
          <t>Lähde</t>
        </is>
      </c>
    </row>
    <row r="3">
      <c r="A3" t="inlineStr">
        <is>
          <t>Pieni avoin malli</t>
        </is>
      </c>
      <c r="B3" t="inlineStr">
        <is>
          <t>USD / miljoona syötetokenia</t>
        </is>
      </c>
      <c r="C3" s="7">
        <v>0.14</v>
      </c>
      <c r="D3" t="inlineStr">
        <is>
          <t>2026-09-01</t>
        </is>
      </c>
      <c r="E3" t="inlineStr">
        <is>
          <t>https://www.together.ai/pricing</t>
        </is>
      </c>
    </row>
    <row r="4">
      <c r="A4" t="inlineStr">
        <is>
          <t>Avoin 70 miljardin parametrin malli</t>
        </is>
      </c>
      <c r="B4" t="inlineStr">
        <is>
          <t>USD / miljoona syötetokenia</t>
        </is>
      </c>
      <c r="C4" s="7">
        <v>1.04</v>
      </c>
      <c r="D4" t="inlineStr">
        <is>
          <t>2026-09-01</t>
        </is>
      </c>
      <c r="E4" t="inlineStr">
        <is>
          <t>https://www.together.ai/pricing</t>
        </is>
      </c>
    </row>
    <row r="5">
      <c r="A5" t="inlineStr">
        <is>
          <t>H100 PCIe, yhteisöpilvi</t>
        </is>
      </c>
      <c r="B5" t="inlineStr">
        <is>
          <t>USD / kiihdytinkorttitunti</t>
        </is>
      </c>
      <c r="C5" s="7">
        <v>1.99</v>
      </c>
      <c r="D5" t="inlineStr">
        <is>
          <t>2026-09-01</t>
        </is>
      </c>
      <c r="E5" t="inlineStr">
        <is>
          <t>https://www.runpod.io/pricing</t>
        </is>
      </c>
    </row>
    <row r="6">
      <c r="A6" t="inlineStr">
        <is>
          <t>H100 SXM, suojattu pilvi</t>
        </is>
      </c>
      <c r="B6" t="inlineStr">
        <is>
          <t>USD / kiihdytinkorttitunti</t>
        </is>
      </c>
      <c r="C6" s="7">
        <v>3.29</v>
      </c>
      <c r="D6" t="inlineStr">
        <is>
          <t>2026-09-01</t>
        </is>
      </c>
      <c r="E6" t="inlineStr">
        <is>
          <t>https://www.runpod.io/pricing</t>
        </is>
      </c>
    </row>
    <row r="7">
      <c r="A7" t="inlineStr">
        <is>
          <t>Hallittu omistettu päättelykapasiteetti, alaraja</t>
        </is>
      </c>
      <c r="B7" t="inlineStr">
        <is>
          <t>USD / kiihdytinkorttitunti</t>
        </is>
      </c>
      <c r="C7" s="7">
        <v>6.49</v>
      </c>
      <c r="D7" t="inlineStr">
        <is>
          <t>2026-09-01</t>
        </is>
      </c>
      <c r="E7" t="inlineStr">
        <is>
          <t>https://www.together.ai/pricing</t>
        </is>
      </c>
    </row>
    <row r="8">
      <c r="A8" t="inlineStr">
        <is>
          <t>Yrityksen toimisto-, identiteetti- ja turvallisuuspaketin vertailu</t>
        </is>
      </c>
      <c r="B8" t="inlineStr">
        <is>
          <t>EUR / käyttäjä / kuukausi</t>
        </is>
      </c>
      <c r="C8" s="7">
        <v>19.1</v>
      </c>
      <c r="D8" t="inlineStr">
        <is>
          <t>2026-09-01</t>
        </is>
      </c>
      <c r="E8" t="inlineStr">
        <is>
          <t>https://www.microsoft.com/fi-fi/microsoft-365/business/compare-all-microsoft-365-business-products</t>
        </is>
      </c>
    </row>
  </sheetData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1" topLeftCell="A5" activePane="bottomLeft" state="frozen"/>
    </sheetView>
  </sheetViews>
  <cols>
    <col min="1" max="1" width="8" customWidth="1"/>
    <col min="2" max="2" width="10" customWidth="1"/>
    <col min="3" max="3" width="12" customWidth="1"/>
    <col min="4" max="4" width="12" customWidth="1"/>
    <col min="5" max="5" width="18" customWidth="1"/>
    <col min="6" max="6" width="15" customWidth="1"/>
    <col min="7" max="7" width="18" customWidth="1"/>
    <col min="8" max="8" width="18" customWidth="1"/>
    <col min="9" max="9" width="16" customWidth="1"/>
    <col min="10" max="10" width="18" customWidth="1"/>
    <col min="11" max="11" width="18" customWidth="1"/>
    <col min="12" max="12" width="12" customWidth="1"/>
    <col min="13" max="13" width="18" customWidth="1"/>
    <col min="14" max="14" width="16" customWidth="1"/>
    <col min="15" max="15" width="18" customWidth="1"/>
    <col min="16" max="16" width="18" customWidth="1"/>
    <col min="17" max="17" width="20" customWidth="1"/>
    <col min="18" max="18" width="20" customWidth="1"/>
    <col min="19" max="19" width="24" customWidth="1"/>
    <col min="20" max="20" width="22" customWidth="1"/>
  </cols>
  <sheetData>
    <row r="1">
      <c r="A1" s="1" t="inlineStr">
        <is>
          <t>Pieni alueellinen tokenoperaattori</t>
        </is>
      </c>
    </row>
    <row r="3">
      <c r="A3" s="1" t="inlineStr">
        <is>
          <t>Heikko skenaario</t>
        </is>
      </c>
    </row>
    <row r="4" ht="42" customHeight="1">
      <c r="A4" s="2" t="inlineStr">
        <is>
          <t>Vuosi</t>
        </is>
      </c>
      <c r="B4" s="2" t="inlineStr">
        <is>
          <t>Kortit</t>
        </is>
      </c>
      <c r="C4" s="2" t="inlineStr">
        <is>
          <t>Uudet kortit</t>
        </is>
      </c>
      <c r="D4" s="2" t="inlineStr">
        <is>
          <t>Käyttöaste</t>
        </is>
      </c>
      <c r="E4" s="2" t="inlineStr">
        <is>
          <t>Myydyt korttitunnit</t>
        </is>
      </c>
      <c r="F4" s="2" t="inlineStr">
        <is>
          <t>Hinta / tunti</t>
        </is>
      </c>
      <c r="G4" s="2" t="inlineStr">
        <is>
          <t>Liikevaihto</t>
        </is>
      </c>
      <c r="H4" s="2" t="inlineStr">
        <is>
          <t>Sähkö ja jäähdytys</t>
        </is>
      </c>
      <c r="I4" s="2" t="inlineStr">
        <is>
          <t>Konesali</t>
        </is>
      </c>
      <c r="J4" s="2" t="inlineStr">
        <is>
          <t>Muut muuttuvat kulut</t>
        </is>
      </c>
      <c r="K4" s="2" t="inlineStr">
        <is>
          <t>Myyntikate</t>
        </is>
      </c>
      <c r="L4" s="2" t="inlineStr">
        <is>
          <t>Henkilöstö</t>
        </is>
      </c>
      <c r="M4" s="2" t="inlineStr">
        <is>
          <t>Henkilökustannus</t>
        </is>
      </c>
      <c r="N4" s="2" t="inlineStr">
        <is>
          <t>Kiinteät kulut</t>
        </is>
      </c>
      <c r="O4" s="2" t="inlineStr">
        <is>
          <t>Käyttökate</t>
        </is>
      </c>
      <c r="P4" s="2" t="inlineStr">
        <is>
          <t>Laiteinvestointi</t>
        </is>
      </c>
      <c r="Q4" s="2" t="inlineStr">
        <is>
          <t>Oma pääoma laitteisiin</t>
        </is>
      </c>
      <c r="R4" s="2" t="inlineStr">
        <is>
          <t>Rahoituksen vuosimaksu</t>
        </is>
      </c>
      <c r="S4" s="2" t="inlineStr">
        <is>
          <t>Kassavirta rahoituksen jälkeen</t>
        </is>
      </c>
      <c r="T4" s="2" t="inlineStr">
        <is>
          <t>Kumulatiivinen kassa</t>
        </is>
      </c>
    </row>
    <row r="5">
      <c r="A5" s="5">
        <v>1</v>
      </c>
      <c r="B5" s="6">
        <v>32</v>
      </c>
      <c r="C5" s="6">
        <v>32</v>
      </c>
      <c r="D5" s="8">
        <v>0.24999999999999997</v>
      </c>
      <c r="E5" s="7">
        <f>B5*8760*D5*0.7</f>
      </c>
      <c r="F5" s="7">
        <v>4.05</v>
      </c>
      <c r="G5" s="3">
        <f>E5*F5</f>
      </c>
      <c r="H5" s="3">
        <f>E5*1.1*1.3*0.09*1.12</f>
      </c>
      <c r="I5" s="3">
        <f>B5*4200*1.12</f>
      </c>
      <c r="J5" s="3">
        <f>G5*0.08*1.12</f>
      </c>
      <c r="K5" s="3">
        <f>G5-H5-I5-J5</f>
      </c>
      <c r="L5" s="6">
        <v>3</v>
      </c>
      <c r="M5" s="3">
        <f>L5*95000*1.05</f>
      </c>
      <c r="N5" s="7">
        <v>132000.0</v>
      </c>
      <c r="O5" s="3">
        <f>K5-M5-N5</f>
      </c>
      <c r="P5" s="7">
        <v>33000.0</v>
      </c>
      <c r="Q5" s="3">
        <f>C5*P5*(1-0.8)</f>
      </c>
      <c r="R5" s="3">
        <f>C5*P5*0.8*0.244</f>
      </c>
      <c r="S5" s="3">
        <f>O5-Q5-R5</f>
      </c>
      <c r="T5" s="3">
        <f>O5-Q5-R5-150000</f>
      </c>
    </row>
    <row r="6">
      <c r="A6" s="5">
        <v>2</v>
      </c>
      <c r="B6" s="6">
        <v>48</v>
      </c>
      <c r="C6" s="6">
        <v>16</v>
      </c>
      <c r="D6" s="8">
        <v>0.38</v>
      </c>
      <c r="E6" s="7">
        <f>B6*8760*D6*0.7</f>
      </c>
      <c r="F6" s="7">
        <v>3.7800000000000002</v>
      </c>
      <c r="G6" s="3">
        <f>E6*F6</f>
      </c>
      <c r="H6" s="3">
        <f>E6*1.1*1.3*0.09*1.12</f>
      </c>
      <c r="I6" s="3">
        <f>B6*4200*1.12</f>
      </c>
      <c r="J6" s="3">
        <f>G6*0.08*1.12</f>
      </c>
      <c r="K6" s="3">
        <f>G6-H6-I6-J6</f>
      </c>
      <c r="L6" s="6">
        <v>4</v>
      </c>
      <c r="M6" s="3">
        <f>L6*98000*1.05</f>
      </c>
      <c r="N6" s="7">
        <v>198000.00000000003</v>
      </c>
      <c r="O6" s="3">
        <f>K6-M6-N6</f>
      </c>
      <c r="P6" s="7">
        <v>31900.000000000004</v>
      </c>
      <c r="Q6" s="3">
        <f>C6*P6*(1-0.8)</f>
      </c>
      <c r="R6" s="3">
        <f>C5*P5*0.8*0.244+C6*P6*0.8*0.244</f>
      </c>
      <c r="S6" s="3">
        <f>O6-Q6-R6</f>
      </c>
      <c r="T6" s="3">
        <f>T5+O6-Q6-R6</f>
      </c>
    </row>
    <row r="7">
      <c r="A7" s="5">
        <v>3</v>
      </c>
      <c r="B7" s="6">
        <v>72</v>
      </c>
      <c r="C7" s="6">
        <v>24</v>
      </c>
      <c r="D7" s="8">
        <v>0.48</v>
      </c>
      <c r="E7" s="7">
        <f>B7*8760*D7*0.7</f>
      </c>
      <c r="F7" s="7">
        <v>3.6</v>
      </c>
      <c r="G7" s="3">
        <f>E7*F7</f>
      </c>
      <c r="H7" s="3">
        <f>E7*1.1*1.28*0.085*1.12</f>
      </c>
      <c r="I7" s="3">
        <f>B7*4100*1.12</f>
      </c>
      <c r="J7" s="3">
        <f>G7*0.075*1.12</f>
      </c>
      <c r="K7" s="3">
        <f>G7-H7-I7-J7</f>
      </c>
      <c r="L7" s="6">
        <v>6</v>
      </c>
      <c r="M7" s="3">
        <f>L7*100000*1.05</f>
      </c>
      <c r="N7" s="7">
        <v>286000.0</v>
      </c>
      <c r="O7" s="3">
        <f>K7-M7-N7</f>
      </c>
      <c r="P7" s="7">
        <v>30800.000000000004</v>
      </c>
      <c r="Q7" s="3">
        <f>C7*P7*(1-0.8)</f>
      </c>
      <c r="R7" s="3">
        <f>C5*P5*0.8*0.244+C6*P6*0.8*0.244+C7*P7*0.8*0.244</f>
      </c>
      <c r="S7" s="3">
        <f>O7-Q7-R7</f>
      </c>
      <c r="T7" s="3">
        <f>T6+O7-Q7-R7</f>
      </c>
    </row>
    <row r="8">
      <c r="A8" s="5">
        <v>4</v>
      </c>
      <c r="B8" s="6">
        <v>96</v>
      </c>
      <c r="C8" s="6">
        <v>24</v>
      </c>
      <c r="D8" s="8">
        <v>0.55</v>
      </c>
      <c r="E8" s="7">
        <f>B8*8760*D8*0.7</f>
      </c>
      <c r="F8" s="7">
        <v>3.42</v>
      </c>
      <c r="G8" s="3">
        <f>E8*F8</f>
      </c>
      <c r="H8" s="3">
        <f>E8*1.05*1.25*0.085*1.12</f>
      </c>
      <c r="I8" s="3">
        <f>B8*4000*1.12</f>
      </c>
      <c r="J8" s="3">
        <f>G8*0.07*1.12</f>
      </c>
      <c r="K8" s="3">
        <f>G8-H8-I8-J8</f>
      </c>
      <c r="L8" s="6">
        <v>8</v>
      </c>
      <c r="M8" s="3">
        <f>L8*102000*1.05</f>
      </c>
      <c r="N8" s="7">
        <v>385000.00000000006</v>
      </c>
      <c r="O8" s="3">
        <f>K8-M8-N8</f>
      </c>
      <c r="P8" s="7">
        <v>29700.000000000004</v>
      </c>
      <c r="Q8" s="3">
        <f>C8*P8*(1-0.8)</f>
      </c>
      <c r="R8" s="3">
        <f>C5*P5*0.8*0.244+C6*P6*0.8*0.244+C7*P7*0.8*0.244+C8*P8*0.8*0.244</f>
      </c>
      <c r="S8" s="3">
        <f>O8-Q8-R8</f>
      </c>
      <c r="T8" s="3">
        <f>T7+O8-Q8-R8</f>
      </c>
    </row>
    <row r="9">
      <c r="A9" s="5">
        <v>5</v>
      </c>
      <c r="B9" s="6">
        <v>128</v>
      </c>
      <c r="C9" s="6">
        <v>32</v>
      </c>
      <c r="D9" s="8">
        <v>0.6</v>
      </c>
      <c r="E9" s="7">
        <f>B9*8760*D9*0.7</f>
      </c>
      <c r="F9" s="7">
        <v>3.24</v>
      </c>
      <c r="G9" s="3">
        <f>E9*F9</f>
      </c>
      <c r="H9" s="3">
        <f>E9*1.05*1.25*0.08*1.12</f>
      </c>
      <c r="I9" s="3">
        <f>B9*3900*1.12</f>
      </c>
      <c r="J9" s="3">
        <f>G9*0.065*1.12</f>
      </c>
      <c r="K9" s="3">
        <f>G9-H9-I9-J9</f>
      </c>
      <c r="L9" s="6">
        <v>10</v>
      </c>
      <c r="M9" s="3">
        <f>L9*105000*1.05</f>
      </c>
      <c r="N9" s="7">
        <v>506000.00000000006</v>
      </c>
      <c r="O9" s="3">
        <f>K9-M9-N9</f>
      </c>
      <c r="P9" s="7">
        <v>28600.000000000004</v>
      </c>
      <c r="Q9" s="3">
        <f>C9*P9*(1-0.8)</f>
      </c>
      <c r="R9" s="3">
        <f>C5*P5*0.8*0.244+C6*P6*0.8*0.244+C7*P7*0.8*0.244+C8*P8*0.8*0.244+C9*P9*0.8*0.244</f>
      </c>
      <c r="S9" s="3">
        <f>O9-Q9-R9</f>
      </c>
      <c r="T9" s="3">
        <f>T8+O9-Q9-R9</f>
      </c>
    </row>
    <row r="11">
      <c r="A11" s="1" t="inlineStr">
        <is>
          <t>Perus skenaario</t>
        </is>
      </c>
    </row>
    <row r="12" ht="42" customHeight="1">
      <c r="A12" s="2" t="inlineStr">
        <is>
          <t>Vuosi</t>
        </is>
      </c>
      <c r="B12" s="2" t="inlineStr">
        <is>
          <t>Kortit</t>
        </is>
      </c>
      <c r="C12" s="2" t="inlineStr">
        <is>
          <t>Uudet kortit</t>
        </is>
      </c>
      <c r="D12" s="2" t="inlineStr">
        <is>
          <t>Käyttöaste</t>
        </is>
      </c>
      <c r="E12" s="2" t="inlineStr">
        <is>
          <t>Myydyt korttitunnit</t>
        </is>
      </c>
      <c r="F12" s="2" t="inlineStr">
        <is>
          <t>Hinta / tunti</t>
        </is>
      </c>
      <c r="G12" s="2" t="inlineStr">
        <is>
          <t>Liikevaihto</t>
        </is>
      </c>
      <c r="H12" s="2" t="inlineStr">
        <is>
          <t>Sähkö ja jäähdytys</t>
        </is>
      </c>
      <c r="I12" s="2" t="inlineStr">
        <is>
          <t>Konesali</t>
        </is>
      </c>
      <c r="J12" s="2" t="inlineStr">
        <is>
          <t>Muut muuttuvat kulut</t>
        </is>
      </c>
      <c r="K12" s="2" t="inlineStr">
        <is>
          <t>Myyntikate</t>
        </is>
      </c>
      <c r="L12" s="2" t="inlineStr">
        <is>
          <t>Henkilöstö</t>
        </is>
      </c>
      <c r="M12" s="2" t="inlineStr">
        <is>
          <t>Henkilökustannus</t>
        </is>
      </c>
      <c r="N12" s="2" t="inlineStr">
        <is>
          <t>Kiinteät kulut</t>
        </is>
      </c>
      <c r="O12" s="2" t="inlineStr">
        <is>
          <t>Käyttökate</t>
        </is>
      </c>
      <c r="P12" s="2" t="inlineStr">
        <is>
          <t>Laiteinvestointi</t>
        </is>
      </c>
      <c r="Q12" s="2" t="inlineStr">
        <is>
          <t>Oma pääoma laitteisiin</t>
        </is>
      </c>
      <c r="R12" s="2" t="inlineStr">
        <is>
          <t>Rahoituksen vuosimaksu</t>
        </is>
      </c>
      <c r="S12" s="2" t="inlineStr">
        <is>
          <t>Kassavirta rahoituksen jälkeen</t>
        </is>
      </c>
      <c r="T12" s="2" t="inlineStr">
        <is>
          <t>Kumulatiivinen kassa</t>
        </is>
      </c>
    </row>
    <row r="13">
      <c r="A13" s="5">
        <v>1</v>
      </c>
      <c r="B13" s="6">
        <v>32</v>
      </c>
      <c r="C13" s="6">
        <v>32</v>
      </c>
      <c r="D13" s="8">
        <v>0.35</v>
      </c>
      <c r="E13" s="7">
        <f>B13*8760*D13*1.0</f>
      </c>
      <c r="F13" s="7">
        <v>4.5</v>
      </c>
      <c r="G13" s="3">
        <f>E13*F13</f>
      </c>
      <c r="H13" s="3">
        <f>E13*1.1*1.3*0.09*1.0</f>
      </c>
      <c r="I13" s="3">
        <f>B13*4200*1.0</f>
      </c>
      <c r="J13" s="3">
        <f>G13*0.08*1.0</f>
      </c>
      <c r="K13" s="3">
        <f>G13-H13-I13-J13</f>
      </c>
      <c r="L13" s="6">
        <v>3</v>
      </c>
      <c r="M13" s="3">
        <f>L13*95000*1.0</f>
      </c>
      <c r="N13" s="7">
        <v>120000.0</v>
      </c>
      <c r="O13" s="3">
        <f>K13-M13-N13</f>
      </c>
      <c r="P13" s="7">
        <v>30000.0</v>
      </c>
      <c r="Q13" s="3">
        <f>C13*P13*(1-0.8)</f>
      </c>
      <c r="R13" s="3">
        <f>C13*P13*0.8*0.244</f>
      </c>
      <c r="S13" s="3">
        <f>O13-Q13-R13</f>
      </c>
      <c r="T13" s="3">
        <f>O13-Q13-R13-150000</f>
      </c>
    </row>
    <row r="14">
      <c r="A14" s="5">
        <v>2</v>
      </c>
      <c r="B14" s="6">
        <v>48</v>
      </c>
      <c r="C14" s="6">
        <v>16</v>
      </c>
      <c r="D14" s="8">
        <v>0.48</v>
      </c>
      <c r="E14" s="7">
        <f>B14*8760*D14*1.0</f>
      </c>
      <c r="F14" s="7">
        <v>4.2</v>
      </c>
      <c r="G14" s="3">
        <f>E14*F14</f>
      </c>
      <c r="H14" s="3">
        <f>E14*1.1*1.3*0.09*1.0</f>
      </c>
      <c r="I14" s="3">
        <f>B14*4200*1.0</f>
      </c>
      <c r="J14" s="3">
        <f>G14*0.08*1.0</f>
      </c>
      <c r="K14" s="3">
        <f>G14-H14-I14-J14</f>
      </c>
      <c r="L14" s="6">
        <v>4</v>
      </c>
      <c r="M14" s="3">
        <f>L14*98000*1.0</f>
      </c>
      <c r="N14" s="7">
        <v>180000.0</v>
      </c>
      <c r="O14" s="3">
        <f>K14-M14-N14</f>
      </c>
      <c r="P14" s="7">
        <v>29000.0</v>
      </c>
      <c r="Q14" s="3">
        <f>C14*P14*(1-0.8)</f>
      </c>
      <c r="R14" s="3">
        <f>C13*P13*0.8*0.244+C14*P14*0.8*0.244</f>
      </c>
      <c r="S14" s="3">
        <f>O14-Q14-R14</f>
      </c>
      <c r="T14" s="3">
        <f>T13+O14-Q14-R14</f>
      </c>
    </row>
    <row r="15">
      <c r="A15" s="5">
        <v>3</v>
      </c>
      <c r="B15" s="6">
        <v>72</v>
      </c>
      <c r="C15" s="6">
        <v>24</v>
      </c>
      <c r="D15" s="8">
        <v>0.58</v>
      </c>
      <c r="E15" s="7">
        <f>B15*8760*D15*1.0</f>
      </c>
      <c r="F15" s="7">
        <v>4.0</v>
      </c>
      <c r="G15" s="3">
        <f>E15*F15</f>
      </c>
      <c r="H15" s="3">
        <f>E15*1.1*1.28*0.085*1.0</f>
      </c>
      <c r="I15" s="3">
        <f>B15*4100*1.0</f>
      </c>
      <c r="J15" s="3">
        <f>G15*0.075*1.0</f>
      </c>
      <c r="K15" s="3">
        <f>G15-H15-I15-J15</f>
      </c>
      <c r="L15" s="6">
        <v>6</v>
      </c>
      <c r="M15" s="3">
        <f>L15*100000*1.0</f>
      </c>
      <c r="N15" s="7">
        <v>260000.0</v>
      </c>
      <c r="O15" s="3">
        <f>K15-M15-N15</f>
      </c>
      <c r="P15" s="7">
        <v>28000.0</v>
      </c>
      <c r="Q15" s="3">
        <f>C15*P15*(1-0.8)</f>
      </c>
      <c r="R15" s="3">
        <f>C13*P13*0.8*0.244+C14*P14*0.8*0.244+C15*P15*0.8*0.244</f>
      </c>
      <c r="S15" s="3">
        <f>O15-Q15-R15</f>
      </c>
      <c r="T15" s="3">
        <f>T14+O15-Q15-R15</f>
      </c>
    </row>
    <row r="16">
      <c r="A16" s="5">
        <v>4</v>
      </c>
      <c r="B16" s="6">
        <v>96</v>
      </c>
      <c r="C16" s="6">
        <v>24</v>
      </c>
      <c r="D16" s="8">
        <v>0.65</v>
      </c>
      <c r="E16" s="7">
        <f>B16*8760*D16*1.0</f>
      </c>
      <c r="F16" s="7">
        <v>3.8</v>
      </c>
      <c r="G16" s="3">
        <f>E16*F16</f>
      </c>
      <c r="H16" s="3">
        <f>E16*1.05*1.25*0.085*1.0</f>
      </c>
      <c r="I16" s="3">
        <f>B16*4000*1.0</f>
      </c>
      <c r="J16" s="3">
        <f>G16*0.07*1.0</f>
      </c>
      <c r="K16" s="3">
        <f>G16-H16-I16-J16</f>
      </c>
      <c r="L16" s="6">
        <v>8</v>
      </c>
      <c r="M16" s="3">
        <f>L16*102000*1.0</f>
      </c>
      <c r="N16" s="7">
        <v>350000.0</v>
      </c>
      <c r="O16" s="3">
        <f>K16-M16-N16</f>
      </c>
      <c r="P16" s="7">
        <v>27000.0</v>
      </c>
      <c r="Q16" s="3">
        <f>C16*P16*(1-0.8)</f>
      </c>
      <c r="R16" s="3">
        <f>C13*P13*0.8*0.244+C14*P14*0.8*0.244+C15*P15*0.8*0.244+C16*P16*0.8*0.244</f>
      </c>
      <c r="S16" s="3">
        <f>O16-Q16-R16</f>
      </c>
      <c r="T16" s="3">
        <f>T15+O16-Q16-R16</f>
      </c>
    </row>
    <row r="17">
      <c r="A17" s="5">
        <v>5</v>
      </c>
      <c r="B17" s="6">
        <v>128</v>
      </c>
      <c r="C17" s="6">
        <v>32</v>
      </c>
      <c r="D17" s="8">
        <v>0.7</v>
      </c>
      <c r="E17" s="7">
        <f>B17*8760*D17*1.0</f>
      </c>
      <c r="F17" s="7">
        <v>3.6</v>
      </c>
      <c r="G17" s="3">
        <f>E17*F17</f>
      </c>
      <c r="H17" s="3">
        <f>E17*1.05*1.25*0.08*1.0</f>
      </c>
      <c r="I17" s="3">
        <f>B17*3900*1.0</f>
      </c>
      <c r="J17" s="3">
        <f>G17*0.065*1.0</f>
      </c>
      <c r="K17" s="3">
        <f>G17-H17-I17-J17</f>
      </c>
      <c r="L17" s="6">
        <v>10</v>
      </c>
      <c r="M17" s="3">
        <f>L17*105000*1.0</f>
      </c>
      <c r="N17" s="7">
        <v>460000.0</v>
      </c>
      <c r="O17" s="3">
        <f>K17-M17-N17</f>
      </c>
      <c r="P17" s="7">
        <v>26000.0</v>
      </c>
      <c r="Q17" s="3">
        <f>C17*P17*(1-0.8)</f>
      </c>
      <c r="R17" s="3">
        <f>C13*P13*0.8*0.244+C14*P14*0.8*0.244+C15*P15*0.8*0.244+C16*P16*0.8*0.244+C17*P17*0.8*0.244</f>
      </c>
      <c r="S17" s="3">
        <f>O17-Q17-R17</f>
      </c>
      <c r="T17" s="3">
        <f>T16+O17-Q17-R17</f>
      </c>
    </row>
    <row r="19">
      <c r="A19" s="1" t="inlineStr">
        <is>
          <t>Vahva skenaario</t>
        </is>
      </c>
    </row>
    <row r="20" ht="42" customHeight="1">
      <c r="A20" s="2" t="inlineStr">
        <is>
          <t>Vuosi</t>
        </is>
      </c>
      <c r="B20" s="2" t="inlineStr">
        <is>
          <t>Kortit</t>
        </is>
      </c>
      <c r="C20" s="2" t="inlineStr">
        <is>
          <t>Uudet kortit</t>
        </is>
      </c>
      <c r="D20" s="2" t="inlineStr">
        <is>
          <t>Käyttöaste</t>
        </is>
      </c>
      <c r="E20" s="2" t="inlineStr">
        <is>
          <t>Myydyt korttitunnit</t>
        </is>
      </c>
      <c r="F20" s="2" t="inlineStr">
        <is>
          <t>Hinta / tunti</t>
        </is>
      </c>
      <c r="G20" s="2" t="inlineStr">
        <is>
          <t>Liikevaihto</t>
        </is>
      </c>
      <c r="H20" s="2" t="inlineStr">
        <is>
          <t>Sähkö ja jäähdytys</t>
        </is>
      </c>
      <c r="I20" s="2" t="inlineStr">
        <is>
          <t>Konesali</t>
        </is>
      </c>
      <c r="J20" s="2" t="inlineStr">
        <is>
          <t>Muut muuttuvat kulut</t>
        </is>
      </c>
      <c r="K20" s="2" t="inlineStr">
        <is>
          <t>Myyntikate</t>
        </is>
      </c>
      <c r="L20" s="2" t="inlineStr">
        <is>
          <t>Henkilöstö</t>
        </is>
      </c>
      <c r="M20" s="2" t="inlineStr">
        <is>
          <t>Henkilökustannus</t>
        </is>
      </c>
      <c r="N20" s="2" t="inlineStr">
        <is>
          <t>Kiinteät kulut</t>
        </is>
      </c>
      <c r="O20" s="2" t="inlineStr">
        <is>
          <t>Käyttökate</t>
        </is>
      </c>
      <c r="P20" s="2" t="inlineStr">
        <is>
          <t>Laiteinvestointi</t>
        </is>
      </c>
      <c r="Q20" s="2" t="inlineStr">
        <is>
          <t>Oma pääoma laitteisiin</t>
        </is>
      </c>
      <c r="R20" s="2" t="inlineStr">
        <is>
          <t>Rahoituksen vuosimaksu</t>
        </is>
      </c>
      <c r="S20" s="2" t="inlineStr">
        <is>
          <t>Kassavirta rahoituksen jälkeen</t>
        </is>
      </c>
      <c r="T20" s="2" t="inlineStr">
        <is>
          <t>Kumulatiivinen kassa</t>
        </is>
      </c>
    </row>
    <row r="21">
      <c r="A21" s="5">
        <v>1</v>
      </c>
      <c r="B21" s="6">
        <v>32</v>
      </c>
      <c r="C21" s="6">
        <v>32</v>
      </c>
      <c r="D21" s="8">
        <v>0.43</v>
      </c>
      <c r="E21" s="7">
        <f>B21*8760*D21*1.25</f>
      </c>
      <c r="F21" s="7">
        <v>4.7250000000000005</v>
      </c>
      <c r="G21" s="3">
        <f>E21*F21</f>
      </c>
      <c r="H21" s="3">
        <f>E21*1.1*1.3*0.09*0.92</f>
      </c>
      <c r="I21" s="3">
        <f>B21*4200*0.92</f>
      </c>
      <c r="J21" s="3">
        <f>G21*0.08*0.92</f>
      </c>
      <c r="K21" s="3">
        <f>G21-H21-I21-J21</f>
      </c>
      <c r="L21" s="6">
        <v>3</v>
      </c>
      <c r="M21" s="3">
        <f>L21*95000*1.08</f>
      </c>
      <c r="N21" s="7">
        <v>129600.00000000001</v>
      </c>
      <c r="O21" s="3">
        <f>K21-M21-N21</f>
      </c>
      <c r="P21" s="7">
        <v>28500.0</v>
      </c>
      <c r="Q21" s="3">
        <f>C21*P21*(1-0.8)</f>
      </c>
      <c r="R21" s="3">
        <f>C21*P21*0.8*0.244</f>
      </c>
      <c r="S21" s="3">
        <f>O21-Q21-R21</f>
      </c>
      <c r="T21" s="3">
        <f>O21-Q21-R21-150000</f>
      </c>
    </row>
    <row r="22">
      <c r="A22" s="5">
        <v>2</v>
      </c>
      <c r="B22" s="6">
        <v>48</v>
      </c>
      <c r="C22" s="6">
        <v>16</v>
      </c>
      <c r="D22" s="8">
        <v>0.5599999999999999</v>
      </c>
      <c r="E22" s="7">
        <f>B22*8760*D22*1.25</f>
      </c>
      <c r="F22" s="7">
        <v>4.41</v>
      </c>
      <c r="G22" s="3">
        <f>E22*F22</f>
      </c>
      <c r="H22" s="3">
        <f>E22*1.1*1.3*0.09*0.92</f>
      </c>
      <c r="I22" s="3">
        <f>B22*4200*0.92</f>
      </c>
      <c r="J22" s="3">
        <f>G22*0.08*0.92</f>
      </c>
      <c r="K22" s="3">
        <f>G22-H22-I22-J22</f>
      </c>
      <c r="L22" s="6">
        <v>4</v>
      </c>
      <c r="M22" s="3">
        <f>L22*98000*1.08</f>
      </c>
      <c r="N22" s="7">
        <v>194400.0</v>
      </c>
      <c r="O22" s="3">
        <f>K22-M22-N22</f>
      </c>
      <c r="P22" s="7">
        <v>27550.0</v>
      </c>
      <c r="Q22" s="3">
        <f>C22*P22*(1-0.8)</f>
      </c>
      <c r="R22" s="3">
        <f>C21*P21*0.8*0.244+C22*P22*0.8*0.244</f>
      </c>
      <c r="S22" s="3">
        <f>O22-Q22-R22</f>
      </c>
      <c r="T22" s="3">
        <f>T21+O22-Q22-R22</f>
      </c>
    </row>
    <row r="23">
      <c r="A23" s="5">
        <v>3</v>
      </c>
      <c r="B23" s="6">
        <v>72</v>
      </c>
      <c r="C23" s="6">
        <v>24</v>
      </c>
      <c r="D23" s="8">
        <v>0.6599999999999999</v>
      </c>
      <c r="E23" s="7">
        <f>B23*8760*D23*1.25</f>
      </c>
      <c r="F23" s="7">
        <v>4.2</v>
      </c>
      <c r="G23" s="3">
        <f>E23*F23</f>
      </c>
      <c r="H23" s="3">
        <f>E23*1.1*1.28*0.085*0.92</f>
      </c>
      <c r="I23" s="3">
        <f>B23*4100*0.92</f>
      </c>
      <c r="J23" s="3">
        <f>G23*0.075*0.92</f>
      </c>
      <c r="K23" s="3">
        <f>G23-H23-I23-J23</f>
      </c>
      <c r="L23" s="6">
        <v>6</v>
      </c>
      <c r="M23" s="3">
        <f>L23*100000*1.08</f>
      </c>
      <c r="N23" s="7">
        <v>280800.0</v>
      </c>
      <c r="O23" s="3">
        <f>K23-M23-N23</f>
      </c>
      <c r="P23" s="7">
        <v>26600.0</v>
      </c>
      <c r="Q23" s="3">
        <f>C23*P23*(1-0.8)</f>
      </c>
      <c r="R23" s="3">
        <f>C21*P21*0.8*0.244+C22*P22*0.8*0.244+C23*P23*0.8*0.244</f>
      </c>
      <c r="S23" s="3">
        <f>O23-Q23-R23</f>
      </c>
      <c r="T23" s="3">
        <f>T22+O23-Q23-R23</f>
      </c>
    </row>
    <row r="24">
      <c r="A24" s="5">
        <v>4</v>
      </c>
      <c r="B24" s="6">
        <v>96</v>
      </c>
      <c r="C24" s="6">
        <v>24</v>
      </c>
      <c r="D24" s="8">
        <v>0.73</v>
      </c>
      <c r="E24" s="7">
        <f>B24*8760*D24*1.25</f>
      </c>
      <c r="F24" s="7">
        <v>3.9899999999999998</v>
      </c>
      <c r="G24" s="3">
        <f>E24*F24</f>
      </c>
      <c r="H24" s="3">
        <f>E24*1.05*1.25*0.085*0.92</f>
      </c>
      <c r="I24" s="3">
        <f>B24*4000*0.92</f>
      </c>
      <c r="J24" s="3">
        <f>G24*0.07*0.92</f>
      </c>
      <c r="K24" s="3">
        <f>G24-H24-I24-J24</f>
      </c>
      <c r="L24" s="6">
        <v>8</v>
      </c>
      <c r="M24" s="3">
        <f>L24*102000*1.08</f>
      </c>
      <c r="N24" s="7">
        <v>378000.0</v>
      </c>
      <c r="O24" s="3">
        <f>K24-M24-N24</f>
      </c>
      <c r="P24" s="7">
        <v>25650.0</v>
      </c>
      <c r="Q24" s="3">
        <f>C24*P24*(1-0.8)</f>
      </c>
      <c r="R24" s="3">
        <f>C21*P21*0.8*0.244+C22*P22*0.8*0.244+C23*P23*0.8*0.244+C24*P24*0.8*0.244</f>
      </c>
      <c r="S24" s="3">
        <f>O24-Q24-R24</f>
      </c>
      <c r="T24" s="3">
        <f>T23+O24-Q24-R24</f>
      </c>
    </row>
    <row r="25">
      <c r="A25" s="5">
        <v>5</v>
      </c>
      <c r="B25" s="6">
        <v>128</v>
      </c>
      <c r="C25" s="6">
        <v>32</v>
      </c>
      <c r="D25" s="8">
        <v>0.7799999999999999</v>
      </c>
      <c r="E25" s="7">
        <f>B25*8760*D25*1.25</f>
      </c>
      <c r="F25" s="7">
        <v>3.7800000000000002</v>
      </c>
      <c r="G25" s="3">
        <f>E25*F25</f>
      </c>
      <c r="H25" s="3">
        <f>E25*1.05*1.25*0.08*0.92</f>
      </c>
      <c r="I25" s="3">
        <f>B25*3900*0.92</f>
      </c>
      <c r="J25" s="3">
        <f>G25*0.065*0.92</f>
      </c>
      <c r="K25" s="3">
        <f>G25-H25-I25-J25</f>
      </c>
      <c r="L25" s="6">
        <v>10</v>
      </c>
      <c r="M25" s="3">
        <f>L25*105000*1.08</f>
      </c>
      <c r="N25" s="7">
        <v>496800.00000000006</v>
      </c>
      <c r="O25" s="3">
        <f>K25-M25-N25</f>
      </c>
      <c r="P25" s="7">
        <v>24700.0</v>
      </c>
      <c r="Q25" s="3">
        <f>C25*P25*(1-0.8)</f>
      </c>
      <c r="R25" s="3">
        <f>C21*P21*0.8*0.244+C22*P22*0.8*0.244+C23*P23*0.8*0.244+C24*P24*0.8*0.244+C25*P25*0.8*0.244</f>
      </c>
      <c r="S25" s="3">
        <f>O25-Q25-R25</f>
      </c>
      <c r="T25" s="3">
        <f>T24+O25-Q25-R25</f>
      </c>
    </row>
  </sheetData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1" topLeftCell="A5" activePane="bottomLeft" state="frozen"/>
    </sheetView>
  </sheetViews>
  <cols>
    <col min="1" max="1" width="8" customWidth="1"/>
    <col min="2" max="2" width="10" customWidth="1"/>
    <col min="3" max="3" width="12" customWidth="1"/>
    <col min="4" max="4" width="12" customWidth="1"/>
    <col min="5" max="5" width="18" customWidth="1"/>
    <col min="6" max="6" width="15" customWidth="1"/>
    <col min="7" max="7" width="18" customWidth="1"/>
    <col min="8" max="8" width="18" customWidth="1"/>
    <col min="9" max="9" width="16" customWidth="1"/>
    <col min="10" max="10" width="18" customWidth="1"/>
    <col min="11" max="11" width="18" customWidth="1"/>
    <col min="12" max="12" width="12" customWidth="1"/>
    <col min="13" max="13" width="18" customWidth="1"/>
    <col min="14" max="14" width="16" customWidth="1"/>
    <col min="15" max="15" width="18" customWidth="1"/>
    <col min="16" max="16" width="18" customWidth="1"/>
    <col min="17" max="17" width="20" customWidth="1"/>
    <col min="18" max="18" width="20" customWidth="1"/>
    <col min="19" max="19" width="24" customWidth="1"/>
    <col min="20" max="20" width="22" customWidth="1"/>
  </cols>
  <sheetData>
    <row r="1">
      <c r="A1" s="1" t="inlineStr">
        <is>
          <t>Valtakunnallinen tokenoperaattori</t>
        </is>
      </c>
    </row>
    <row r="3">
      <c r="A3" s="1" t="inlineStr">
        <is>
          <t>Heikko skenaario</t>
        </is>
      </c>
    </row>
    <row r="4" ht="42" customHeight="1">
      <c r="A4" s="2" t="inlineStr">
        <is>
          <t>Vuosi</t>
        </is>
      </c>
      <c r="B4" s="2" t="inlineStr">
        <is>
          <t>Kortit</t>
        </is>
      </c>
      <c r="C4" s="2" t="inlineStr">
        <is>
          <t>Uudet kortit</t>
        </is>
      </c>
      <c r="D4" s="2" t="inlineStr">
        <is>
          <t>Käyttöaste</t>
        </is>
      </c>
      <c r="E4" s="2" t="inlineStr">
        <is>
          <t>Myydyt korttitunnit</t>
        </is>
      </c>
      <c r="F4" s="2" t="inlineStr">
        <is>
          <t>Hinta / tunti</t>
        </is>
      </c>
      <c r="G4" s="2" t="inlineStr">
        <is>
          <t>Liikevaihto</t>
        </is>
      </c>
      <c r="H4" s="2" t="inlineStr">
        <is>
          <t>Sähkö ja jäähdytys</t>
        </is>
      </c>
      <c r="I4" s="2" t="inlineStr">
        <is>
          <t>Konesali</t>
        </is>
      </c>
      <c r="J4" s="2" t="inlineStr">
        <is>
          <t>Muut muuttuvat kulut</t>
        </is>
      </c>
      <c r="K4" s="2" t="inlineStr">
        <is>
          <t>Myyntikate</t>
        </is>
      </c>
      <c r="L4" s="2" t="inlineStr">
        <is>
          <t>Henkilöstö</t>
        </is>
      </c>
      <c r="M4" s="2" t="inlineStr">
        <is>
          <t>Henkilökustannus</t>
        </is>
      </c>
      <c r="N4" s="2" t="inlineStr">
        <is>
          <t>Kiinteät kulut</t>
        </is>
      </c>
      <c r="O4" s="2" t="inlineStr">
        <is>
          <t>Käyttökate</t>
        </is>
      </c>
      <c r="P4" s="2" t="inlineStr">
        <is>
          <t>Laiteinvestointi</t>
        </is>
      </c>
      <c r="Q4" s="2" t="inlineStr">
        <is>
          <t>Oma pääoma laitteisiin</t>
        </is>
      </c>
      <c r="R4" s="2" t="inlineStr">
        <is>
          <t>Rahoituksen vuosimaksu</t>
        </is>
      </c>
      <c r="S4" s="2" t="inlineStr">
        <is>
          <t>Kassavirta rahoituksen jälkeen</t>
        </is>
      </c>
      <c r="T4" s="2" t="inlineStr">
        <is>
          <t>Kumulatiivinen kassa</t>
        </is>
      </c>
    </row>
    <row r="5">
      <c r="A5" s="5">
        <v>1</v>
      </c>
      <c r="B5" s="6">
        <v>256</v>
      </c>
      <c r="C5" s="6">
        <v>256</v>
      </c>
      <c r="D5" s="8">
        <v>0.35</v>
      </c>
      <c r="E5" s="7">
        <f>B5*8760*D5*0.7</f>
      </c>
      <c r="F5" s="7">
        <v>3.06</v>
      </c>
      <c r="G5" s="3">
        <f>E5*F5</f>
      </c>
      <c r="H5" s="3">
        <f>E5*1.1*1.25*0.08*1.12</f>
      </c>
      <c r="I5" s="3">
        <f>B5*3500*1.12</f>
      </c>
      <c r="J5" s="3">
        <f>G5*0.06*1.12</f>
      </c>
      <c r="K5" s="3">
        <f>G5-H5-I5-J5</f>
      </c>
      <c r="L5" s="6">
        <v>14</v>
      </c>
      <c r="M5" s="3">
        <f>L5*110000*1.05</f>
      </c>
      <c r="N5" s="7">
        <v>1320000.0</v>
      </c>
      <c r="O5" s="3">
        <f>K5-M5-N5</f>
      </c>
      <c r="P5" s="7">
        <v>30800.000000000004</v>
      </c>
      <c r="Q5" s="3">
        <f>C5*P5*(1-0.8)</f>
      </c>
      <c r="R5" s="3">
        <f>C5*P5*0.8*0.244</f>
      </c>
      <c r="S5" s="3">
        <f>O5-Q5-R5</f>
      </c>
      <c r="T5" s="3">
        <f>O5-Q5-R5-2000000</f>
      </c>
    </row>
    <row r="6">
      <c r="A6" s="5">
        <v>2</v>
      </c>
      <c r="B6" s="6">
        <v>512</v>
      </c>
      <c r="C6" s="6">
        <v>256</v>
      </c>
      <c r="D6" s="8">
        <v>0.45000000000000007</v>
      </c>
      <c r="E6" s="7">
        <f>B6*8760*D6*0.7</f>
      </c>
      <c r="F6" s="7">
        <v>2.8800000000000003</v>
      </c>
      <c r="G6" s="3">
        <f>E6*F6</f>
      </c>
      <c r="H6" s="3">
        <f>E6*1.08*1.23*0.078*1.12</f>
      </c>
      <c r="I6" s="3">
        <f>B6*3400*1.12</f>
      </c>
      <c r="J6" s="3">
        <f>G6*0.058*1.12</f>
      </c>
      <c r="K6" s="3">
        <f>G6-H6-I6-J6</f>
      </c>
      <c r="L6" s="6">
        <v>22</v>
      </c>
      <c r="M6" s="3">
        <f>L6*112000*1.05</f>
      </c>
      <c r="N6" s="7">
        <v>2200000.0</v>
      </c>
      <c r="O6" s="3">
        <f>K6-M6-N6</f>
      </c>
      <c r="P6" s="7">
        <v>29700.000000000004</v>
      </c>
      <c r="Q6" s="3">
        <f>C6*P6*(1-0.8)</f>
      </c>
      <c r="R6" s="3">
        <f>C5*P5*0.8*0.244+C6*P6*0.8*0.244</f>
      </c>
      <c r="S6" s="3">
        <f>O6-Q6-R6</f>
      </c>
      <c r="T6" s="3">
        <f>T5+O6-Q6-R6</f>
      </c>
    </row>
    <row r="7">
      <c r="A7" s="5">
        <v>3</v>
      </c>
      <c r="B7" s="6">
        <v>896</v>
      </c>
      <c r="C7" s="6">
        <v>384</v>
      </c>
      <c r="D7" s="8">
        <v>0.52</v>
      </c>
      <c r="E7" s="7">
        <f>B7*8760*D7*0.7</f>
      </c>
      <c r="F7" s="7">
        <v>2.7</v>
      </c>
      <c r="G7" s="3">
        <f>E7*F7</f>
      </c>
      <c r="H7" s="3">
        <f>E7*1.05*1.22*0.075*1.12</f>
      </c>
      <c r="I7" s="3">
        <f>B7*3300*1.12</f>
      </c>
      <c r="J7" s="3">
        <f>G7*0.055*1.12</f>
      </c>
      <c r="K7" s="3">
        <f>G7-H7-I7-J7</f>
      </c>
      <c r="L7" s="6">
        <v>32</v>
      </c>
      <c r="M7" s="3">
        <f>L7*114000*1.05</f>
      </c>
      <c r="N7" s="7">
        <v>3300000.0000000005</v>
      </c>
      <c r="O7" s="3">
        <f>K7-M7-N7</f>
      </c>
      <c r="P7" s="7">
        <v>28600.000000000004</v>
      </c>
      <c r="Q7" s="3">
        <f>C7*P7*(1-0.8)</f>
      </c>
      <c r="R7" s="3">
        <f>C5*P5*0.8*0.244+C6*P6*0.8*0.244+C7*P7*0.8*0.244</f>
      </c>
      <c r="S7" s="3">
        <f>O7-Q7-R7</f>
      </c>
      <c r="T7" s="3">
        <f>T6+O7-Q7-R7</f>
      </c>
    </row>
    <row r="8">
      <c r="A8" s="5">
        <v>4</v>
      </c>
      <c r="B8" s="6">
        <v>1408</v>
      </c>
      <c r="C8" s="6">
        <v>512</v>
      </c>
      <c r="D8" s="8">
        <v>0.5800000000000001</v>
      </c>
      <c r="E8" s="7">
        <f>B8*8760*D8*0.7</f>
      </c>
      <c r="F8" s="7">
        <v>2.565</v>
      </c>
      <c r="G8" s="3">
        <f>E8*F8</f>
      </c>
      <c r="H8" s="3">
        <f>E8*1.02*1.2*0.073*1.12</f>
      </c>
      <c r="I8" s="3">
        <f>B8*3200*1.12</f>
      </c>
      <c r="J8" s="3">
        <f>G8*0.052*1.12</f>
      </c>
      <c r="K8" s="3">
        <f>G8-H8-I8-J8</f>
      </c>
      <c r="L8" s="6">
        <v>44</v>
      </c>
      <c r="M8" s="3">
        <f>L8*117000*1.05</f>
      </c>
      <c r="N8" s="7">
        <v>4620000.0</v>
      </c>
      <c r="O8" s="3">
        <f>K8-M8-N8</f>
      </c>
      <c r="P8" s="7">
        <v>27500.000000000004</v>
      </c>
      <c r="Q8" s="3">
        <f>C8*P8*(1-0.8)</f>
      </c>
      <c r="R8" s="3">
        <f>C5*P5*0.8*0.244+C6*P6*0.8*0.244+C7*P7*0.8*0.244+C8*P8*0.8*0.244</f>
      </c>
      <c r="S8" s="3">
        <f>O8-Q8-R8</f>
      </c>
      <c r="T8" s="3">
        <f>T7+O8-Q8-R8</f>
      </c>
    </row>
    <row r="9">
      <c r="A9" s="5">
        <v>5</v>
      </c>
      <c r="B9" s="6">
        <v>2048</v>
      </c>
      <c r="C9" s="6">
        <v>640</v>
      </c>
      <c r="D9" s="8">
        <v>0.62</v>
      </c>
      <c r="E9" s="7">
        <f>B9*8760*D9*0.7</f>
      </c>
      <c r="F9" s="7">
        <v>2.43</v>
      </c>
      <c r="G9" s="3">
        <f>E9*F9</f>
      </c>
      <c r="H9" s="3">
        <f>E9*1.0*1.18*0.07*1.12</f>
      </c>
      <c r="I9" s="3">
        <f>B9*3100*1.12</f>
      </c>
      <c r="J9" s="3">
        <f>G9*0.05*1.12</f>
      </c>
      <c r="K9" s="3">
        <f>G9-H9-I9-J9</f>
      </c>
      <c r="L9" s="6">
        <v>58</v>
      </c>
      <c r="M9" s="3">
        <f>L9*120000*1.05</f>
      </c>
      <c r="N9" s="7">
        <v>6380000.000000001</v>
      </c>
      <c r="O9" s="3">
        <f>K9-M9-N9</f>
      </c>
      <c r="P9" s="7">
        <v>26400.000000000004</v>
      </c>
      <c r="Q9" s="3">
        <f>C9*P9*(1-0.8)</f>
      </c>
      <c r="R9" s="3">
        <f>C5*P5*0.8*0.244+C6*P6*0.8*0.244+C7*P7*0.8*0.244+C8*P8*0.8*0.244+C9*P9*0.8*0.244</f>
      </c>
      <c r="S9" s="3">
        <f>O9-Q9-R9</f>
      </c>
      <c r="T9" s="3">
        <f>T8+O9-Q9-R9</f>
      </c>
    </row>
    <row r="11">
      <c r="A11" s="1" t="inlineStr">
        <is>
          <t>Perus skenaario</t>
        </is>
      </c>
    </row>
    <row r="12" ht="42" customHeight="1">
      <c r="A12" s="2" t="inlineStr">
        <is>
          <t>Vuosi</t>
        </is>
      </c>
      <c r="B12" s="2" t="inlineStr">
        <is>
          <t>Kortit</t>
        </is>
      </c>
      <c r="C12" s="2" t="inlineStr">
        <is>
          <t>Uudet kortit</t>
        </is>
      </c>
      <c r="D12" s="2" t="inlineStr">
        <is>
          <t>Käyttöaste</t>
        </is>
      </c>
      <c r="E12" s="2" t="inlineStr">
        <is>
          <t>Myydyt korttitunnit</t>
        </is>
      </c>
      <c r="F12" s="2" t="inlineStr">
        <is>
          <t>Hinta / tunti</t>
        </is>
      </c>
      <c r="G12" s="2" t="inlineStr">
        <is>
          <t>Liikevaihto</t>
        </is>
      </c>
      <c r="H12" s="2" t="inlineStr">
        <is>
          <t>Sähkö ja jäähdytys</t>
        </is>
      </c>
      <c r="I12" s="2" t="inlineStr">
        <is>
          <t>Konesali</t>
        </is>
      </c>
      <c r="J12" s="2" t="inlineStr">
        <is>
          <t>Muut muuttuvat kulut</t>
        </is>
      </c>
      <c r="K12" s="2" t="inlineStr">
        <is>
          <t>Myyntikate</t>
        </is>
      </c>
      <c r="L12" s="2" t="inlineStr">
        <is>
          <t>Henkilöstö</t>
        </is>
      </c>
      <c r="M12" s="2" t="inlineStr">
        <is>
          <t>Henkilökustannus</t>
        </is>
      </c>
      <c r="N12" s="2" t="inlineStr">
        <is>
          <t>Kiinteät kulut</t>
        </is>
      </c>
      <c r="O12" s="2" t="inlineStr">
        <is>
          <t>Käyttökate</t>
        </is>
      </c>
      <c r="P12" s="2" t="inlineStr">
        <is>
          <t>Laiteinvestointi</t>
        </is>
      </c>
      <c r="Q12" s="2" t="inlineStr">
        <is>
          <t>Oma pääoma laitteisiin</t>
        </is>
      </c>
      <c r="R12" s="2" t="inlineStr">
        <is>
          <t>Rahoituksen vuosimaksu</t>
        </is>
      </c>
      <c r="S12" s="2" t="inlineStr">
        <is>
          <t>Kassavirta rahoituksen jälkeen</t>
        </is>
      </c>
      <c r="T12" s="2" t="inlineStr">
        <is>
          <t>Kumulatiivinen kassa</t>
        </is>
      </c>
    </row>
    <row r="13">
      <c r="A13" s="5">
        <v>1</v>
      </c>
      <c r="B13" s="6">
        <v>256</v>
      </c>
      <c r="C13" s="6">
        <v>256</v>
      </c>
      <c r="D13" s="8">
        <v>0.45</v>
      </c>
      <c r="E13" s="7">
        <f>B13*8760*D13*1.0</f>
      </c>
      <c r="F13" s="7">
        <v>3.4</v>
      </c>
      <c r="G13" s="3">
        <f>E13*F13</f>
      </c>
      <c r="H13" s="3">
        <f>E13*1.1*1.25*0.08*1.0</f>
      </c>
      <c r="I13" s="3">
        <f>B13*3500*1.0</f>
      </c>
      <c r="J13" s="3">
        <f>G13*0.06*1.0</f>
      </c>
      <c r="K13" s="3">
        <f>G13-H13-I13-J13</f>
      </c>
      <c r="L13" s="6">
        <v>14</v>
      </c>
      <c r="M13" s="3">
        <f>L13*110000*1.0</f>
      </c>
      <c r="N13" s="7">
        <v>1200000.0</v>
      </c>
      <c r="O13" s="3">
        <f>K13-M13-N13</f>
      </c>
      <c r="P13" s="7">
        <v>28000.0</v>
      </c>
      <c r="Q13" s="3">
        <f>C13*P13*(1-0.8)</f>
      </c>
      <c r="R13" s="3">
        <f>C13*P13*0.8*0.244</f>
      </c>
      <c r="S13" s="3">
        <f>O13-Q13-R13</f>
      </c>
      <c r="T13" s="3">
        <f>O13-Q13-R13-2000000</f>
      </c>
    </row>
    <row r="14">
      <c r="A14" s="5">
        <v>2</v>
      </c>
      <c r="B14" s="6">
        <v>512</v>
      </c>
      <c r="C14" s="6">
        <v>256</v>
      </c>
      <c r="D14" s="8">
        <v>0.55</v>
      </c>
      <c r="E14" s="7">
        <f>B14*8760*D14*1.0</f>
      </c>
      <c r="F14" s="7">
        <v>3.2</v>
      </c>
      <c r="G14" s="3">
        <f>E14*F14</f>
      </c>
      <c r="H14" s="3">
        <f>E14*1.08*1.23*0.078*1.0</f>
      </c>
      <c r="I14" s="3">
        <f>B14*3400*1.0</f>
      </c>
      <c r="J14" s="3">
        <f>G14*0.058*1.0</f>
      </c>
      <c r="K14" s="3">
        <f>G14-H14-I14-J14</f>
      </c>
      <c r="L14" s="6">
        <v>22</v>
      </c>
      <c r="M14" s="3">
        <f>L14*112000*1.0</f>
      </c>
      <c r="N14" s="7">
        <v>2000000.0</v>
      </c>
      <c r="O14" s="3">
        <f>K14-M14-N14</f>
      </c>
      <c r="P14" s="7">
        <v>27000.0</v>
      </c>
      <c r="Q14" s="3">
        <f>C14*P14*(1-0.8)</f>
      </c>
      <c r="R14" s="3">
        <f>C13*P13*0.8*0.244+C14*P14*0.8*0.244</f>
      </c>
      <c r="S14" s="3">
        <f>O14-Q14-R14</f>
      </c>
      <c r="T14" s="3">
        <f>T13+O14-Q14-R14</f>
      </c>
    </row>
    <row r="15">
      <c r="A15" s="5">
        <v>3</v>
      </c>
      <c r="B15" s="6">
        <v>896</v>
      </c>
      <c r="C15" s="6">
        <v>384</v>
      </c>
      <c r="D15" s="8">
        <v>0.62</v>
      </c>
      <c r="E15" s="7">
        <f>B15*8760*D15*1.0</f>
      </c>
      <c r="F15" s="7">
        <v>3.0</v>
      </c>
      <c r="G15" s="3">
        <f>E15*F15</f>
      </c>
      <c r="H15" s="3">
        <f>E15*1.05*1.22*0.075*1.0</f>
      </c>
      <c r="I15" s="3">
        <f>B15*3300*1.0</f>
      </c>
      <c r="J15" s="3">
        <f>G15*0.055*1.0</f>
      </c>
      <c r="K15" s="3">
        <f>G15-H15-I15-J15</f>
      </c>
      <c r="L15" s="6">
        <v>32</v>
      </c>
      <c r="M15" s="3">
        <f>L15*114000*1.0</f>
      </c>
      <c r="N15" s="7">
        <v>3000000.0</v>
      </c>
      <c r="O15" s="3">
        <f>K15-M15-N15</f>
      </c>
      <c r="P15" s="7">
        <v>26000.0</v>
      </c>
      <c r="Q15" s="3">
        <f>C15*P15*(1-0.8)</f>
      </c>
      <c r="R15" s="3">
        <f>C13*P13*0.8*0.244+C14*P14*0.8*0.244+C15*P15*0.8*0.244</f>
      </c>
      <c r="S15" s="3">
        <f>O15-Q15-R15</f>
      </c>
      <c r="T15" s="3">
        <f>T14+O15-Q15-R15</f>
      </c>
    </row>
    <row r="16">
      <c r="A16" s="5">
        <v>4</v>
      </c>
      <c r="B16" s="6">
        <v>1408</v>
      </c>
      <c r="C16" s="6">
        <v>512</v>
      </c>
      <c r="D16" s="8">
        <v>0.68</v>
      </c>
      <c r="E16" s="7">
        <f>B16*8760*D16*1.0</f>
      </c>
      <c r="F16" s="7">
        <v>2.85</v>
      </c>
      <c r="G16" s="3">
        <f>E16*F16</f>
      </c>
      <c r="H16" s="3">
        <f>E16*1.02*1.2*0.073*1.0</f>
      </c>
      <c r="I16" s="3">
        <f>B16*3200*1.0</f>
      </c>
      <c r="J16" s="3">
        <f>G16*0.052*1.0</f>
      </c>
      <c r="K16" s="3">
        <f>G16-H16-I16-J16</f>
      </c>
      <c r="L16" s="6">
        <v>44</v>
      </c>
      <c r="M16" s="3">
        <f>L16*117000*1.0</f>
      </c>
      <c r="N16" s="7">
        <v>4200000.0</v>
      </c>
      <c r="O16" s="3">
        <f>K16-M16-N16</f>
      </c>
      <c r="P16" s="7">
        <v>25000.0</v>
      </c>
      <c r="Q16" s="3">
        <f>C16*P16*(1-0.8)</f>
      </c>
      <c r="R16" s="3">
        <f>C13*P13*0.8*0.244+C14*P14*0.8*0.244+C15*P15*0.8*0.244+C16*P16*0.8*0.244</f>
      </c>
      <c r="S16" s="3">
        <f>O16-Q16-R16</f>
      </c>
      <c r="T16" s="3">
        <f>T15+O16-Q16-R16</f>
      </c>
    </row>
    <row r="17">
      <c r="A17" s="5">
        <v>5</v>
      </c>
      <c r="B17" s="6">
        <v>2048</v>
      </c>
      <c r="C17" s="6">
        <v>640</v>
      </c>
      <c r="D17" s="8">
        <v>0.72</v>
      </c>
      <c r="E17" s="7">
        <f>B17*8760*D17*1.0</f>
      </c>
      <c r="F17" s="7">
        <v>2.7</v>
      </c>
      <c r="G17" s="3">
        <f>E17*F17</f>
      </c>
      <c r="H17" s="3">
        <f>E17*1.0*1.18*0.07*1.0</f>
      </c>
      <c r="I17" s="3">
        <f>B17*3100*1.0</f>
      </c>
      <c r="J17" s="3">
        <f>G17*0.05*1.0</f>
      </c>
      <c r="K17" s="3">
        <f>G17-H17-I17-J17</f>
      </c>
      <c r="L17" s="6">
        <v>58</v>
      </c>
      <c r="M17" s="3">
        <f>L17*120000*1.0</f>
      </c>
      <c r="N17" s="7">
        <v>5800000.0</v>
      </c>
      <c r="O17" s="3">
        <f>K17-M17-N17</f>
      </c>
      <c r="P17" s="7">
        <v>24000.0</v>
      </c>
      <c r="Q17" s="3">
        <f>C17*P17*(1-0.8)</f>
      </c>
      <c r="R17" s="3">
        <f>C13*P13*0.8*0.244+C14*P14*0.8*0.244+C15*P15*0.8*0.244+C16*P16*0.8*0.244+C17*P17*0.8*0.244</f>
      </c>
      <c r="S17" s="3">
        <f>O17-Q17-R17</f>
      </c>
      <c r="T17" s="3">
        <f>T16+O17-Q17-R17</f>
      </c>
    </row>
    <row r="19">
      <c r="A19" s="1" t="inlineStr">
        <is>
          <t>Vahva skenaario</t>
        </is>
      </c>
    </row>
    <row r="20" ht="42" customHeight="1">
      <c r="A20" s="2" t="inlineStr">
        <is>
          <t>Vuosi</t>
        </is>
      </c>
      <c r="B20" s="2" t="inlineStr">
        <is>
          <t>Kortit</t>
        </is>
      </c>
      <c r="C20" s="2" t="inlineStr">
        <is>
          <t>Uudet kortit</t>
        </is>
      </c>
      <c r="D20" s="2" t="inlineStr">
        <is>
          <t>Käyttöaste</t>
        </is>
      </c>
      <c r="E20" s="2" t="inlineStr">
        <is>
          <t>Myydyt korttitunnit</t>
        </is>
      </c>
      <c r="F20" s="2" t="inlineStr">
        <is>
          <t>Hinta / tunti</t>
        </is>
      </c>
      <c r="G20" s="2" t="inlineStr">
        <is>
          <t>Liikevaihto</t>
        </is>
      </c>
      <c r="H20" s="2" t="inlineStr">
        <is>
          <t>Sähkö ja jäähdytys</t>
        </is>
      </c>
      <c r="I20" s="2" t="inlineStr">
        <is>
          <t>Konesali</t>
        </is>
      </c>
      <c r="J20" s="2" t="inlineStr">
        <is>
          <t>Muut muuttuvat kulut</t>
        </is>
      </c>
      <c r="K20" s="2" t="inlineStr">
        <is>
          <t>Myyntikate</t>
        </is>
      </c>
      <c r="L20" s="2" t="inlineStr">
        <is>
          <t>Henkilöstö</t>
        </is>
      </c>
      <c r="M20" s="2" t="inlineStr">
        <is>
          <t>Henkilökustannus</t>
        </is>
      </c>
      <c r="N20" s="2" t="inlineStr">
        <is>
          <t>Kiinteät kulut</t>
        </is>
      </c>
      <c r="O20" s="2" t="inlineStr">
        <is>
          <t>Käyttökate</t>
        </is>
      </c>
      <c r="P20" s="2" t="inlineStr">
        <is>
          <t>Laiteinvestointi</t>
        </is>
      </c>
      <c r="Q20" s="2" t="inlineStr">
        <is>
          <t>Oma pääoma laitteisiin</t>
        </is>
      </c>
      <c r="R20" s="2" t="inlineStr">
        <is>
          <t>Rahoituksen vuosimaksu</t>
        </is>
      </c>
      <c r="S20" s="2" t="inlineStr">
        <is>
          <t>Kassavirta rahoituksen jälkeen</t>
        </is>
      </c>
      <c r="T20" s="2" t="inlineStr">
        <is>
          <t>Kumulatiivinen kassa</t>
        </is>
      </c>
    </row>
    <row r="21">
      <c r="A21" s="5">
        <v>1</v>
      </c>
      <c r="B21" s="6">
        <v>256</v>
      </c>
      <c r="C21" s="6">
        <v>256</v>
      </c>
      <c r="D21" s="8">
        <v>0.53</v>
      </c>
      <c r="E21" s="7">
        <f>B21*8760*D21*1.25</f>
      </c>
      <c r="F21" s="7">
        <v>3.57</v>
      </c>
      <c r="G21" s="3">
        <f>E21*F21</f>
      </c>
      <c r="H21" s="3">
        <f>E21*1.1*1.25*0.08*0.92</f>
      </c>
      <c r="I21" s="3">
        <f>B21*3500*0.92</f>
      </c>
      <c r="J21" s="3">
        <f>G21*0.06*0.92</f>
      </c>
      <c r="K21" s="3">
        <f>G21-H21-I21-J21</f>
      </c>
      <c r="L21" s="6">
        <v>14</v>
      </c>
      <c r="M21" s="3">
        <f>L21*110000*1.08</f>
      </c>
      <c r="N21" s="7">
        <v>1296000.0</v>
      </c>
      <c r="O21" s="3">
        <f>K21-M21-N21</f>
      </c>
      <c r="P21" s="7">
        <v>26600.0</v>
      </c>
      <c r="Q21" s="3">
        <f>C21*P21*(1-0.8)</f>
      </c>
      <c r="R21" s="3">
        <f>C21*P21*0.8*0.244</f>
      </c>
      <c r="S21" s="3">
        <f>O21-Q21-R21</f>
      </c>
      <c r="T21" s="3">
        <f>O21-Q21-R21-2000000</f>
      </c>
    </row>
    <row r="22">
      <c r="A22" s="5">
        <v>2</v>
      </c>
      <c r="B22" s="6">
        <v>512</v>
      </c>
      <c r="C22" s="6">
        <v>256</v>
      </c>
      <c r="D22" s="8">
        <v>0.63</v>
      </c>
      <c r="E22" s="7">
        <f>B22*8760*D22*1.25</f>
      </c>
      <c r="F22" s="7">
        <v>3.3600000000000003</v>
      </c>
      <c r="G22" s="3">
        <f>E22*F22</f>
      </c>
      <c r="H22" s="3">
        <f>E22*1.08*1.23*0.078*0.92</f>
      </c>
      <c r="I22" s="3">
        <f>B22*3400*0.92</f>
      </c>
      <c r="J22" s="3">
        <f>G22*0.058*0.92</f>
      </c>
      <c r="K22" s="3">
        <f>G22-H22-I22-J22</f>
      </c>
      <c r="L22" s="6">
        <v>22</v>
      </c>
      <c r="M22" s="3">
        <f>L22*112000*1.08</f>
      </c>
      <c r="N22" s="7">
        <v>2160000.0</v>
      </c>
      <c r="O22" s="3">
        <f>K22-M22-N22</f>
      </c>
      <c r="P22" s="7">
        <v>25650.0</v>
      </c>
      <c r="Q22" s="3">
        <f>C22*P22*(1-0.8)</f>
      </c>
      <c r="R22" s="3">
        <f>C21*P21*0.8*0.244+C22*P22*0.8*0.244</f>
      </c>
      <c r="S22" s="3">
        <f>O22-Q22-R22</f>
      </c>
      <c r="T22" s="3">
        <f>T21+O22-Q22-R22</f>
      </c>
    </row>
    <row r="23">
      <c r="A23" s="5">
        <v>3</v>
      </c>
      <c r="B23" s="6">
        <v>896</v>
      </c>
      <c r="C23" s="6">
        <v>384</v>
      </c>
      <c r="D23" s="8">
        <v>0.7</v>
      </c>
      <c r="E23" s="7">
        <f>B23*8760*D23*1.25</f>
      </c>
      <c r="F23" s="7">
        <v>3.1500000000000004</v>
      </c>
      <c r="G23" s="3">
        <f>E23*F23</f>
      </c>
      <c r="H23" s="3">
        <f>E23*1.05*1.22*0.075*0.92</f>
      </c>
      <c r="I23" s="3">
        <f>B23*3300*0.92</f>
      </c>
      <c r="J23" s="3">
        <f>G23*0.055*0.92</f>
      </c>
      <c r="K23" s="3">
        <f>G23-H23-I23-J23</f>
      </c>
      <c r="L23" s="6">
        <v>32</v>
      </c>
      <c r="M23" s="3">
        <f>L23*114000*1.08</f>
      </c>
      <c r="N23" s="7">
        <v>3240000.0</v>
      </c>
      <c r="O23" s="3">
        <f>K23-M23-N23</f>
      </c>
      <c r="P23" s="7">
        <v>24700.0</v>
      </c>
      <c r="Q23" s="3">
        <f>C23*P23*(1-0.8)</f>
      </c>
      <c r="R23" s="3">
        <f>C21*P21*0.8*0.244+C22*P22*0.8*0.244+C23*P23*0.8*0.244</f>
      </c>
      <c r="S23" s="3">
        <f>O23-Q23-R23</f>
      </c>
      <c r="T23" s="3">
        <f>T22+O23-Q23-R23</f>
      </c>
    </row>
    <row r="24">
      <c r="A24" s="5">
        <v>4</v>
      </c>
      <c r="B24" s="6">
        <v>1408</v>
      </c>
      <c r="C24" s="6">
        <v>512</v>
      </c>
      <c r="D24" s="8">
        <v>0.76</v>
      </c>
      <c r="E24" s="7">
        <f>B24*8760*D24*1.25</f>
      </c>
      <c r="F24" s="7">
        <v>2.9925</v>
      </c>
      <c r="G24" s="3">
        <f>E24*F24</f>
      </c>
      <c r="H24" s="3">
        <f>E24*1.02*1.2*0.073*0.92</f>
      </c>
      <c r="I24" s="3">
        <f>B24*3200*0.92</f>
      </c>
      <c r="J24" s="3">
        <f>G24*0.052*0.92</f>
      </c>
      <c r="K24" s="3">
        <f>G24-H24-I24-J24</f>
      </c>
      <c r="L24" s="6">
        <v>44</v>
      </c>
      <c r="M24" s="3">
        <f>L24*117000*1.08</f>
      </c>
      <c r="N24" s="7">
        <v>4536000.0</v>
      </c>
      <c r="O24" s="3">
        <f>K24-M24-N24</f>
      </c>
      <c r="P24" s="7">
        <v>23750.0</v>
      </c>
      <c r="Q24" s="3">
        <f>C24*P24*(1-0.8)</f>
      </c>
      <c r="R24" s="3">
        <f>C21*P21*0.8*0.244+C22*P22*0.8*0.244+C23*P23*0.8*0.244+C24*P24*0.8*0.244</f>
      </c>
      <c r="S24" s="3">
        <f>O24-Q24-R24</f>
      </c>
      <c r="T24" s="3">
        <f>T23+O24-Q24-R24</f>
      </c>
    </row>
    <row r="25">
      <c r="A25" s="5">
        <v>5</v>
      </c>
      <c r="B25" s="6">
        <v>2048</v>
      </c>
      <c r="C25" s="6">
        <v>640</v>
      </c>
      <c r="D25" s="8">
        <v>0.7999999999999999</v>
      </c>
      <c r="E25" s="7">
        <f>B25*8760*D25*1.25</f>
      </c>
      <c r="F25" s="7">
        <v>2.8350000000000004</v>
      </c>
      <c r="G25" s="3">
        <f>E25*F25</f>
      </c>
      <c r="H25" s="3">
        <f>E25*1.0*1.18*0.07*0.92</f>
      </c>
      <c r="I25" s="3">
        <f>B25*3100*0.92</f>
      </c>
      <c r="J25" s="3">
        <f>G25*0.05*0.92</f>
      </c>
      <c r="K25" s="3">
        <f>G25-H25-I25-J25</f>
      </c>
      <c r="L25" s="6">
        <v>58</v>
      </c>
      <c r="M25" s="3">
        <f>L25*120000*1.08</f>
      </c>
      <c r="N25" s="7">
        <v>6264000.0</v>
      </c>
      <c r="O25" s="3">
        <f>K25-M25-N25</f>
      </c>
      <c r="P25" s="7">
        <v>22800.0</v>
      </c>
      <c r="Q25" s="3">
        <f>C25*P25*(1-0.8)</f>
      </c>
      <c r="R25" s="3">
        <f>C21*P21*0.8*0.244+C22*P22*0.8*0.244+C23*P23*0.8*0.244+C24*P24*0.8*0.244+C25*P25*0.8*0.244</f>
      </c>
      <c r="S25" s="3">
        <f>O25-Q25-R25</f>
      </c>
      <c r="T25" s="3">
        <f>T24+O25-Q25-R25</f>
      </c>
    </row>
  </sheetData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1" topLeftCell="A5" activePane="bottomLeft" state="frozen"/>
    </sheetView>
  </sheetViews>
  <cols>
    <col min="1" max="1" width="8" customWidth="1"/>
    <col min="2" max="2" width="18" customWidth="1"/>
    <col min="3" max="3" width="18" customWidth="1"/>
    <col min="4" max="4" width="14" customWidth="1"/>
    <col min="5" max="5" width="14" customWidth="1"/>
    <col min="6" max="6" width="20" customWidth="1"/>
    <col min="7" max="7" width="20" customWidth="1"/>
    <col min="8" max="8" width="18" customWidth="1"/>
    <col min="9" max="9" width="20" customWidth="1"/>
    <col min="10" max="10" width="18" customWidth="1"/>
    <col min="11" max="11" width="18" customWidth="1"/>
    <col min="12" max="12" width="18" customWidth="1"/>
    <col min="13" max="13" width="18" customWidth="1"/>
    <col min="14" max="14" width="20" customWidth="1"/>
    <col min="15" max="15" width="18" customWidth="1"/>
    <col min="16" max="16" width="12" customWidth="1"/>
    <col min="17" max="17" width="18" customWidth="1"/>
    <col min="18" max="18" width="16" customWidth="1"/>
    <col min="19" max="19" width="18" customWidth="1"/>
    <col min="20" max="20" width="18" customWidth="1"/>
    <col min="21" max="21" width="22" customWidth="1"/>
  </cols>
  <sheetData>
    <row r="1">
      <c r="A1" s="1" t="inlineStr">
        <is>
          <t>Toimiala- tai osuuskuntapohjainen tieto-operaattori</t>
        </is>
      </c>
    </row>
    <row r="3">
      <c r="A3" s="1" t="inlineStr">
        <is>
          <t>Heikko skenaario</t>
        </is>
      </c>
    </row>
    <row r="4" ht="42" customHeight="1">
      <c r="A4" s="2" t="inlineStr">
        <is>
          <t>Vuosi</t>
        </is>
      </c>
      <c r="B4" s="2" t="inlineStr">
        <is>
          <t>Asiakkaat vuoden lopussa</t>
        </is>
      </c>
      <c r="C4" s="2" t="inlineStr">
        <is>
          <t>Keskimääräiset asiakkaat</t>
        </is>
      </c>
      <c r="D4" s="2" t="inlineStr">
        <is>
          <t>Uudet asiakkaat</t>
        </is>
      </c>
      <c r="E4" s="2" t="inlineStr">
        <is>
          <t>Käyttäjät / asiakas</t>
        </is>
      </c>
      <c r="F4" s="2" t="inlineStr">
        <is>
          <t>Jatkuva palvelu / asiakas / kk</t>
        </is>
      </c>
      <c r="G4" s="2" t="inlineStr">
        <is>
          <t>Tokenit miljoonaa / asiakas / kk</t>
        </is>
      </c>
      <c r="H4" s="2" t="inlineStr">
        <is>
          <t>Tokenhinta / miljoona</t>
        </is>
      </c>
      <c r="I4" s="2" t="inlineStr">
        <is>
          <t>Jatkuvan palvelun liikevaihto</t>
        </is>
      </c>
      <c r="J4" s="2" t="inlineStr">
        <is>
          <t>Käyttöönotot</t>
        </is>
      </c>
      <c r="K4" s="2" t="inlineStr">
        <is>
          <t>Tokenliikevaihto</t>
        </is>
      </c>
      <c r="L4" s="2" t="inlineStr">
        <is>
          <t>Liikevaihto</t>
        </is>
      </c>
      <c r="M4" s="2" t="inlineStr">
        <is>
          <t>Suorat palvelukulut</t>
        </is>
      </c>
      <c r="N4" s="2" t="inlineStr">
        <is>
          <t>Tokenien tukkukustannus</t>
        </is>
      </c>
      <c r="O4" s="2" t="inlineStr">
        <is>
          <t>Myyntikate</t>
        </is>
      </c>
      <c r="P4" s="2" t="inlineStr">
        <is>
          <t>Henkilöstö</t>
        </is>
      </c>
      <c r="Q4" s="2" t="inlineStr">
        <is>
          <t>Henkilökustannus</t>
        </is>
      </c>
      <c r="R4" s="2" t="inlineStr">
        <is>
          <t>Kiinteät kulut</t>
        </is>
      </c>
      <c r="S4" s="2" t="inlineStr">
        <is>
          <t>Käyttökate</t>
        </is>
      </c>
      <c r="T4" s="2" t="inlineStr">
        <is>
          <t>Alkuinvestointi</t>
        </is>
      </c>
      <c r="U4" s="2" t="inlineStr">
        <is>
          <t>Kumulatiivinen kassa</t>
        </is>
      </c>
    </row>
    <row r="5">
      <c r="A5" s="5">
        <v>1</v>
      </c>
      <c r="B5" s="6">
        <v>21</v>
      </c>
      <c r="C5" s="6">
        <v>10</v>
      </c>
      <c r="D5" s="6">
        <v>21</v>
      </c>
      <c r="E5" s="6">
        <v>10</v>
      </c>
      <c r="F5" s="7">
        <v>513.0</v>
      </c>
      <c r="G5" s="7">
        <v>0</v>
      </c>
      <c r="H5" s="7">
        <v>0.0</v>
      </c>
      <c r="I5" s="3">
        <f>C5*F5*12</f>
      </c>
      <c r="J5" s="3">
        <f>D5*2500*0.9</f>
      </c>
      <c r="K5" s="3">
        <f>C5*G5*12*0.7*H5</f>
      </c>
      <c r="L5" s="3">
        <f>I5+J5+K5</f>
      </c>
      <c r="M5" s="3">
        <f>(I5+J5)*0.12*1.12</f>
      </c>
      <c r="N5" s="3">
        <f>C5*G5*12*0.7*0*1.12</f>
      </c>
      <c r="O5" s="3">
        <f>L5-M5-N5</f>
      </c>
      <c r="P5" s="6">
        <v>3</v>
      </c>
      <c r="Q5" s="3">
        <f>P5*90000*1.05</f>
      </c>
      <c r="R5" s="7">
        <v>99000.00000000001</v>
      </c>
      <c r="S5" s="3">
        <f>O5-Q5-R5</f>
      </c>
      <c r="T5" s="7">
        <v>275000.0</v>
      </c>
      <c r="U5" s="3">
        <f>S5-275000.0</f>
      </c>
    </row>
    <row r="6">
      <c r="A6" s="5">
        <v>2</v>
      </c>
      <c r="B6" s="6">
        <v>56</v>
      </c>
      <c r="C6" s="6">
        <v>38</v>
      </c>
      <c r="D6" s="6">
        <v>35</v>
      </c>
      <c r="E6" s="6">
        <v>12</v>
      </c>
      <c r="F6" s="7">
        <v>619.2</v>
      </c>
      <c r="G6" s="7">
        <v>0</v>
      </c>
      <c r="H6" s="7">
        <v>0.0</v>
      </c>
      <c r="I6" s="3">
        <f>C6*F6*12</f>
      </c>
      <c r="J6" s="3">
        <f>D6*3000*0.9</f>
      </c>
      <c r="K6" s="3">
        <f>C6*G6*12*0.7*H6</f>
      </c>
      <c r="L6" s="3">
        <f>I6+J6+K6</f>
      </c>
      <c r="M6" s="3">
        <f>(I6+J6)*0.13*1.12</f>
      </c>
      <c r="N6" s="3">
        <f>C6*G6*12*0.7*0*1.12</f>
      </c>
      <c r="O6" s="3">
        <f>L6-M6-N6</f>
      </c>
      <c r="P6" s="6">
        <v>5</v>
      </c>
      <c r="Q6" s="3">
        <f>P6*92000*1.05</f>
      </c>
      <c r="R6" s="7">
        <v>154000.0</v>
      </c>
      <c r="S6" s="3">
        <f>O6-Q6-R6</f>
      </c>
      <c r="T6" s="7">
        <v>0</v>
      </c>
      <c r="U6" s="3">
        <f>U5+S6</f>
      </c>
    </row>
    <row r="7">
      <c r="A7" s="5">
        <v>3</v>
      </c>
      <c r="B7" s="6">
        <v>112</v>
      </c>
      <c r="C7" s="6">
        <v>84</v>
      </c>
      <c r="D7" s="6">
        <v>56</v>
      </c>
      <c r="E7" s="6">
        <v>14</v>
      </c>
      <c r="F7" s="7">
        <v>732.6</v>
      </c>
      <c r="G7" s="7">
        <v>0</v>
      </c>
      <c r="H7" s="7">
        <v>0.0</v>
      </c>
      <c r="I7" s="3">
        <f>C7*F7*12</f>
      </c>
      <c r="J7" s="3">
        <f>D7*3500*0.9</f>
      </c>
      <c r="K7" s="3">
        <f>C7*G7*12*0.7*H7</f>
      </c>
      <c r="L7" s="3">
        <f>I7+J7+K7</f>
      </c>
      <c r="M7" s="3">
        <f>(I7+J7)*0.14*1.12</f>
      </c>
      <c r="N7" s="3">
        <f>C7*G7*12*0.7*0*1.12</f>
      </c>
      <c r="O7" s="3">
        <f>L7-M7-N7</f>
      </c>
      <c r="P7" s="6">
        <v>8</v>
      </c>
      <c r="Q7" s="3">
        <f>P7*95000*1.05</f>
      </c>
      <c r="R7" s="7">
        <v>242000.00000000003</v>
      </c>
      <c r="S7" s="3">
        <f>O7-Q7-R7</f>
      </c>
      <c r="T7" s="7">
        <v>0</v>
      </c>
      <c r="U7" s="3">
        <f>U6+S7</f>
      </c>
    </row>
    <row r="8">
      <c r="A8" s="5">
        <v>4</v>
      </c>
      <c r="B8" s="6">
        <v>196</v>
      </c>
      <c r="C8" s="6">
        <v>154</v>
      </c>
      <c r="D8" s="6">
        <v>84</v>
      </c>
      <c r="E8" s="6">
        <v>16</v>
      </c>
      <c r="F8" s="7">
        <v>853.2</v>
      </c>
      <c r="G8" s="7">
        <v>0</v>
      </c>
      <c r="H8" s="7">
        <v>0.0</v>
      </c>
      <c r="I8" s="3">
        <f>C8*F8*12</f>
      </c>
      <c r="J8" s="3">
        <f>D8*4000*0.9</f>
      </c>
      <c r="K8" s="3">
        <f>C8*G8*12*0.7*H8</f>
      </c>
      <c r="L8" s="3">
        <f>I8+J8+K8</f>
      </c>
      <c r="M8" s="3">
        <f>(I8+J8)*0.145*1.12</f>
      </c>
      <c r="N8" s="3">
        <f>C8*G8*12*0.7*0*1.12</f>
      </c>
      <c r="O8" s="3">
        <f>L8-M8-N8</f>
      </c>
      <c r="P8" s="6">
        <v>13</v>
      </c>
      <c r="Q8" s="3">
        <f>P8*98000*1.05</f>
      </c>
      <c r="R8" s="7">
        <v>396000.00000000006</v>
      </c>
      <c r="S8" s="3">
        <f>O8-Q8-R8</f>
      </c>
      <c r="T8" s="7">
        <v>0</v>
      </c>
      <c r="U8" s="3">
        <f>U7+S8</f>
      </c>
    </row>
    <row r="9">
      <c r="A9" s="5">
        <v>5</v>
      </c>
      <c r="B9" s="6">
        <v>301</v>
      </c>
      <c r="C9" s="6">
        <v>248</v>
      </c>
      <c r="D9" s="6">
        <v>105</v>
      </c>
      <c r="E9" s="6">
        <v>18</v>
      </c>
      <c r="F9" s="7">
        <v>981.0</v>
      </c>
      <c r="G9" s="7">
        <v>0</v>
      </c>
      <c r="H9" s="7">
        <v>0.0</v>
      </c>
      <c r="I9" s="3">
        <f>C9*F9*12</f>
      </c>
      <c r="J9" s="3">
        <f>D9*4500*0.9</f>
      </c>
      <c r="K9" s="3">
        <f>C9*G9*12*0.7*H9</f>
      </c>
      <c r="L9" s="3">
        <f>I9+J9+K9</f>
      </c>
      <c r="M9" s="3">
        <f>(I9+J9)*0.15*1.12</f>
      </c>
      <c r="N9" s="3">
        <f>C9*G9*12*0.7*0*1.12</f>
      </c>
      <c r="O9" s="3">
        <f>L9-M9-N9</f>
      </c>
      <c r="P9" s="6">
        <v>19</v>
      </c>
      <c r="Q9" s="3">
        <f>P9*100000*1.05</f>
      </c>
      <c r="R9" s="7">
        <v>616000.0</v>
      </c>
      <c r="S9" s="3">
        <f>O9-Q9-R9</f>
      </c>
      <c r="T9" s="7">
        <v>0</v>
      </c>
      <c r="U9" s="3">
        <f>U8+S9</f>
      </c>
    </row>
    <row r="11">
      <c r="A11" s="1" t="inlineStr">
        <is>
          <t>Perus skenaario</t>
        </is>
      </c>
    </row>
    <row r="12" ht="42" customHeight="1">
      <c r="A12" s="2" t="inlineStr">
        <is>
          <t>Vuosi</t>
        </is>
      </c>
      <c r="B12" s="2" t="inlineStr">
        <is>
          <t>Asiakkaat vuoden lopussa</t>
        </is>
      </c>
      <c r="C12" s="2" t="inlineStr">
        <is>
          <t>Keskimääräiset asiakkaat</t>
        </is>
      </c>
      <c r="D12" s="2" t="inlineStr">
        <is>
          <t>Uudet asiakkaat</t>
        </is>
      </c>
      <c r="E12" s="2" t="inlineStr">
        <is>
          <t>Käyttäjät / asiakas</t>
        </is>
      </c>
      <c r="F12" s="2" t="inlineStr">
        <is>
          <t>Jatkuva palvelu / asiakas / kk</t>
        </is>
      </c>
      <c r="G12" s="2" t="inlineStr">
        <is>
          <t>Tokenit miljoonaa / asiakas / kk</t>
        </is>
      </c>
      <c r="H12" s="2" t="inlineStr">
        <is>
          <t>Tokenhinta / miljoona</t>
        </is>
      </c>
      <c r="I12" s="2" t="inlineStr">
        <is>
          <t>Jatkuvan palvelun liikevaihto</t>
        </is>
      </c>
      <c r="J12" s="2" t="inlineStr">
        <is>
          <t>Käyttöönotot</t>
        </is>
      </c>
      <c r="K12" s="2" t="inlineStr">
        <is>
          <t>Tokenliikevaihto</t>
        </is>
      </c>
      <c r="L12" s="2" t="inlineStr">
        <is>
          <t>Liikevaihto</t>
        </is>
      </c>
      <c r="M12" s="2" t="inlineStr">
        <is>
          <t>Suorat palvelukulut</t>
        </is>
      </c>
      <c r="N12" s="2" t="inlineStr">
        <is>
          <t>Tokenien tukkukustannus</t>
        </is>
      </c>
      <c r="O12" s="2" t="inlineStr">
        <is>
          <t>Myyntikate</t>
        </is>
      </c>
      <c r="P12" s="2" t="inlineStr">
        <is>
          <t>Henkilöstö</t>
        </is>
      </c>
      <c r="Q12" s="2" t="inlineStr">
        <is>
          <t>Henkilökustannus</t>
        </is>
      </c>
      <c r="R12" s="2" t="inlineStr">
        <is>
          <t>Kiinteät kulut</t>
        </is>
      </c>
      <c r="S12" s="2" t="inlineStr">
        <is>
          <t>Käyttökate</t>
        </is>
      </c>
      <c r="T12" s="2" t="inlineStr">
        <is>
          <t>Alkuinvestointi</t>
        </is>
      </c>
      <c r="U12" s="2" t="inlineStr">
        <is>
          <t>Kumulatiivinen kassa</t>
        </is>
      </c>
    </row>
    <row r="13">
      <c r="A13" s="5">
        <v>1</v>
      </c>
      <c r="B13" s="6">
        <v>30</v>
      </c>
      <c r="C13" s="6">
        <v>15</v>
      </c>
      <c r="D13" s="6">
        <v>30</v>
      </c>
      <c r="E13" s="6">
        <v>10</v>
      </c>
      <c r="F13" s="7">
        <v>570.0</v>
      </c>
      <c r="G13" s="7">
        <v>0</v>
      </c>
      <c r="H13" s="7">
        <v>0.0</v>
      </c>
      <c r="I13" s="3">
        <f>C13*F13*12</f>
      </c>
      <c r="J13" s="3">
        <f>D13*2500*1.0</f>
      </c>
      <c r="K13" s="3">
        <f>C13*G13*12*1.0*H13</f>
      </c>
      <c r="L13" s="3">
        <f>I13+J13+K13</f>
      </c>
      <c r="M13" s="3">
        <f>(I13+J13)*0.12*1.0</f>
      </c>
      <c r="N13" s="3">
        <f>C13*G13*12*1.0*0*1.0</f>
      </c>
      <c r="O13" s="3">
        <f>L13-M13-N13</f>
      </c>
      <c r="P13" s="6">
        <v>3</v>
      </c>
      <c r="Q13" s="3">
        <f>P13*90000*1.0</f>
      </c>
      <c r="R13" s="7">
        <v>90000.0</v>
      </c>
      <c r="S13" s="3">
        <f>O13-Q13-R13</f>
      </c>
      <c r="T13" s="7">
        <v>250000.0</v>
      </c>
      <c r="U13" s="3">
        <f>S13-250000.0</f>
      </c>
    </row>
    <row r="14">
      <c r="A14" s="5">
        <v>2</v>
      </c>
      <c r="B14" s="6">
        <v>80</v>
      </c>
      <c r="C14" s="6">
        <v>55</v>
      </c>
      <c r="D14" s="6">
        <v>50</v>
      </c>
      <c r="E14" s="6">
        <v>12</v>
      </c>
      <c r="F14" s="7">
        <v>688.0</v>
      </c>
      <c r="G14" s="7">
        <v>0</v>
      </c>
      <c r="H14" s="7">
        <v>0.0</v>
      </c>
      <c r="I14" s="3">
        <f>C14*F14*12</f>
      </c>
      <c r="J14" s="3">
        <f>D14*3000*1.0</f>
      </c>
      <c r="K14" s="3">
        <f>C14*G14*12*1.0*H14</f>
      </c>
      <c r="L14" s="3">
        <f>I14+J14+K14</f>
      </c>
      <c r="M14" s="3">
        <f>(I14+J14)*0.13*1.0</f>
      </c>
      <c r="N14" s="3">
        <f>C14*G14*12*1.0*0*1.0</f>
      </c>
      <c r="O14" s="3">
        <f>L14-M14-N14</f>
      </c>
      <c r="P14" s="6">
        <v>5</v>
      </c>
      <c r="Q14" s="3">
        <f>P14*92000*1.0</f>
      </c>
      <c r="R14" s="7">
        <v>140000.0</v>
      </c>
      <c r="S14" s="3">
        <f>O14-Q14-R14</f>
      </c>
      <c r="T14" s="7">
        <v>0</v>
      </c>
      <c r="U14" s="3">
        <f>U13+S14</f>
      </c>
    </row>
    <row r="15">
      <c r="A15" s="5">
        <v>3</v>
      </c>
      <c r="B15" s="6">
        <v>160</v>
      </c>
      <c r="C15" s="6">
        <v>120</v>
      </c>
      <c r="D15" s="6">
        <v>80</v>
      </c>
      <c r="E15" s="6">
        <v>14</v>
      </c>
      <c r="F15" s="7">
        <v>814.0</v>
      </c>
      <c r="G15" s="7">
        <v>0</v>
      </c>
      <c r="H15" s="7">
        <v>0.0</v>
      </c>
      <c r="I15" s="3">
        <f>C15*F15*12</f>
      </c>
      <c r="J15" s="3">
        <f>D15*3500*1.0</f>
      </c>
      <c r="K15" s="3">
        <f>C15*G15*12*1.0*H15</f>
      </c>
      <c r="L15" s="3">
        <f>I15+J15+K15</f>
      </c>
      <c r="M15" s="3">
        <f>(I15+J15)*0.14*1.0</f>
      </c>
      <c r="N15" s="3">
        <f>C15*G15*12*1.0*0*1.0</f>
      </c>
      <c r="O15" s="3">
        <f>L15-M15-N15</f>
      </c>
      <c r="P15" s="6">
        <v>8</v>
      </c>
      <c r="Q15" s="3">
        <f>P15*95000*1.0</f>
      </c>
      <c r="R15" s="7">
        <v>220000.0</v>
      </c>
      <c r="S15" s="3">
        <f>O15-Q15-R15</f>
      </c>
      <c r="T15" s="7">
        <v>0</v>
      </c>
      <c r="U15" s="3">
        <f>U14+S15</f>
      </c>
    </row>
    <row r="16">
      <c r="A16" s="5">
        <v>4</v>
      </c>
      <c r="B16" s="6">
        <v>280</v>
      </c>
      <c r="C16" s="6">
        <v>220</v>
      </c>
      <c r="D16" s="6">
        <v>120</v>
      </c>
      <c r="E16" s="6">
        <v>16</v>
      </c>
      <c r="F16" s="7">
        <v>948.0</v>
      </c>
      <c r="G16" s="7">
        <v>0</v>
      </c>
      <c r="H16" s="7">
        <v>0.0</v>
      </c>
      <c r="I16" s="3">
        <f>C16*F16*12</f>
      </c>
      <c r="J16" s="3">
        <f>D16*4000*1.0</f>
      </c>
      <c r="K16" s="3">
        <f>C16*G16*12*1.0*H16</f>
      </c>
      <c r="L16" s="3">
        <f>I16+J16+K16</f>
      </c>
      <c r="M16" s="3">
        <f>(I16+J16)*0.145*1.0</f>
      </c>
      <c r="N16" s="3">
        <f>C16*G16*12*1.0*0*1.0</f>
      </c>
      <c r="O16" s="3">
        <f>L16-M16-N16</f>
      </c>
      <c r="P16" s="6">
        <v>13</v>
      </c>
      <c r="Q16" s="3">
        <f>P16*98000*1.0</f>
      </c>
      <c r="R16" s="7">
        <v>360000.0</v>
      </c>
      <c r="S16" s="3">
        <f>O16-Q16-R16</f>
      </c>
      <c r="T16" s="7">
        <v>0</v>
      </c>
      <c r="U16" s="3">
        <f>U15+S16</f>
      </c>
    </row>
    <row r="17">
      <c r="A17" s="5">
        <v>5</v>
      </c>
      <c r="B17" s="6">
        <v>430</v>
      </c>
      <c r="C17" s="6">
        <v>355</v>
      </c>
      <c r="D17" s="6">
        <v>150</v>
      </c>
      <c r="E17" s="6">
        <v>18</v>
      </c>
      <c r="F17" s="7">
        <v>1090.0</v>
      </c>
      <c r="G17" s="7">
        <v>0</v>
      </c>
      <c r="H17" s="7">
        <v>0.0</v>
      </c>
      <c r="I17" s="3">
        <f>C17*F17*12</f>
      </c>
      <c r="J17" s="3">
        <f>D17*4500*1.0</f>
      </c>
      <c r="K17" s="3">
        <f>C17*G17*12*1.0*H17</f>
      </c>
      <c r="L17" s="3">
        <f>I17+J17+K17</f>
      </c>
      <c r="M17" s="3">
        <f>(I17+J17)*0.15*1.0</f>
      </c>
      <c r="N17" s="3">
        <f>C17*G17*12*1.0*0*1.0</f>
      </c>
      <c r="O17" s="3">
        <f>L17-M17-N17</f>
      </c>
      <c r="P17" s="6">
        <v>19</v>
      </c>
      <c r="Q17" s="3">
        <f>P17*100000*1.0</f>
      </c>
      <c r="R17" s="7">
        <v>560000.0</v>
      </c>
      <c r="S17" s="3">
        <f>O17-Q17-R17</f>
      </c>
      <c r="T17" s="7">
        <v>0</v>
      </c>
      <c r="U17" s="3">
        <f>U16+S17</f>
      </c>
    </row>
    <row r="19">
      <c r="A19" s="1" t="inlineStr">
        <is>
          <t>Vahva skenaario</t>
        </is>
      </c>
    </row>
    <row r="20" ht="42" customHeight="1">
      <c r="A20" s="2" t="inlineStr">
        <is>
          <t>Vuosi</t>
        </is>
      </c>
      <c r="B20" s="2" t="inlineStr">
        <is>
          <t>Asiakkaat vuoden lopussa</t>
        </is>
      </c>
      <c r="C20" s="2" t="inlineStr">
        <is>
          <t>Keskimääräiset asiakkaat</t>
        </is>
      </c>
      <c r="D20" s="2" t="inlineStr">
        <is>
          <t>Uudet asiakkaat</t>
        </is>
      </c>
      <c r="E20" s="2" t="inlineStr">
        <is>
          <t>Käyttäjät / asiakas</t>
        </is>
      </c>
      <c r="F20" s="2" t="inlineStr">
        <is>
          <t>Jatkuva palvelu / asiakas / kk</t>
        </is>
      </c>
      <c r="G20" s="2" t="inlineStr">
        <is>
          <t>Tokenit miljoonaa / asiakas / kk</t>
        </is>
      </c>
      <c r="H20" s="2" t="inlineStr">
        <is>
          <t>Tokenhinta / miljoona</t>
        </is>
      </c>
      <c r="I20" s="2" t="inlineStr">
        <is>
          <t>Jatkuvan palvelun liikevaihto</t>
        </is>
      </c>
      <c r="J20" s="2" t="inlineStr">
        <is>
          <t>Käyttöönotot</t>
        </is>
      </c>
      <c r="K20" s="2" t="inlineStr">
        <is>
          <t>Tokenliikevaihto</t>
        </is>
      </c>
      <c r="L20" s="2" t="inlineStr">
        <is>
          <t>Liikevaihto</t>
        </is>
      </c>
      <c r="M20" s="2" t="inlineStr">
        <is>
          <t>Suorat palvelukulut</t>
        </is>
      </c>
      <c r="N20" s="2" t="inlineStr">
        <is>
          <t>Tokenien tukkukustannus</t>
        </is>
      </c>
      <c r="O20" s="2" t="inlineStr">
        <is>
          <t>Myyntikate</t>
        </is>
      </c>
      <c r="P20" s="2" t="inlineStr">
        <is>
          <t>Henkilöstö</t>
        </is>
      </c>
      <c r="Q20" s="2" t="inlineStr">
        <is>
          <t>Henkilökustannus</t>
        </is>
      </c>
      <c r="R20" s="2" t="inlineStr">
        <is>
          <t>Kiinteät kulut</t>
        </is>
      </c>
      <c r="S20" s="2" t="inlineStr">
        <is>
          <t>Käyttökate</t>
        </is>
      </c>
      <c r="T20" s="2" t="inlineStr">
        <is>
          <t>Alkuinvestointi</t>
        </is>
      </c>
      <c r="U20" s="2" t="inlineStr">
        <is>
          <t>Kumulatiivinen kassa</t>
        </is>
      </c>
    </row>
    <row r="21">
      <c r="A21" s="5">
        <v>1</v>
      </c>
      <c r="B21" s="6">
        <v>38</v>
      </c>
      <c r="C21" s="6">
        <v>19</v>
      </c>
      <c r="D21" s="6">
        <v>38</v>
      </c>
      <c r="E21" s="6">
        <v>10</v>
      </c>
      <c r="F21" s="7">
        <v>598.5</v>
      </c>
      <c r="G21" s="7">
        <v>0</v>
      </c>
      <c r="H21" s="7">
        <v>0.0</v>
      </c>
      <c r="I21" s="3">
        <f>C21*F21*12</f>
      </c>
      <c r="J21" s="3">
        <f>D21*2500*1.05</f>
      </c>
      <c r="K21" s="3">
        <f>C21*G21*12*1.25*H21</f>
      </c>
      <c r="L21" s="3">
        <f>I21+J21+K21</f>
      </c>
      <c r="M21" s="3">
        <f>(I21+J21)*0.12*0.92</f>
      </c>
      <c r="N21" s="3">
        <f>C21*G21*12*1.25*0*0.92</f>
      </c>
      <c r="O21" s="3">
        <f>L21-M21-N21</f>
      </c>
      <c r="P21" s="6">
        <v>3</v>
      </c>
      <c r="Q21" s="3">
        <f>P21*90000*1.08</f>
      </c>
      <c r="R21" s="7">
        <v>97200.0</v>
      </c>
      <c r="S21" s="3">
        <f>O21-Q21-R21</f>
      </c>
      <c r="T21" s="7">
        <v>237500.0</v>
      </c>
      <c r="U21" s="3">
        <f>S21-237500.0</f>
      </c>
    </row>
    <row r="22">
      <c r="A22" s="5">
        <v>2</v>
      </c>
      <c r="B22" s="6">
        <v>100</v>
      </c>
      <c r="C22" s="6">
        <v>69</v>
      </c>
      <c r="D22" s="6">
        <v>62</v>
      </c>
      <c r="E22" s="6">
        <v>12</v>
      </c>
      <c r="F22" s="7">
        <v>722.4</v>
      </c>
      <c r="G22" s="7">
        <v>0</v>
      </c>
      <c r="H22" s="7">
        <v>0.0</v>
      </c>
      <c r="I22" s="3">
        <f>C22*F22*12</f>
      </c>
      <c r="J22" s="3">
        <f>D22*3000*1.05</f>
      </c>
      <c r="K22" s="3">
        <f>C22*G22*12*1.25*H22</f>
      </c>
      <c r="L22" s="3">
        <f>I22+J22+K22</f>
      </c>
      <c r="M22" s="3">
        <f>(I22+J22)*0.13*0.92</f>
      </c>
      <c r="N22" s="3">
        <f>C22*G22*12*1.25*0*0.92</f>
      </c>
      <c r="O22" s="3">
        <f>L22-M22-N22</f>
      </c>
      <c r="P22" s="6">
        <v>5</v>
      </c>
      <c r="Q22" s="3">
        <f>P22*92000*1.08</f>
      </c>
      <c r="R22" s="7">
        <v>151200.0</v>
      </c>
      <c r="S22" s="3">
        <f>O22-Q22-R22</f>
      </c>
      <c r="T22" s="7">
        <v>0</v>
      </c>
      <c r="U22" s="3">
        <f>U21+S22</f>
      </c>
    </row>
    <row r="23">
      <c r="A23" s="5">
        <v>3</v>
      </c>
      <c r="B23" s="6">
        <v>200</v>
      </c>
      <c r="C23" s="6">
        <v>150</v>
      </c>
      <c r="D23" s="6">
        <v>100</v>
      </c>
      <c r="E23" s="6">
        <v>14</v>
      </c>
      <c r="F23" s="7">
        <v>854.7</v>
      </c>
      <c r="G23" s="7">
        <v>0</v>
      </c>
      <c r="H23" s="7">
        <v>0.0</v>
      </c>
      <c r="I23" s="3">
        <f>C23*F23*12</f>
      </c>
      <c r="J23" s="3">
        <f>D23*3500*1.05</f>
      </c>
      <c r="K23" s="3">
        <f>C23*G23*12*1.25*H23</f>
      </c>
      <c r="L23" s="3">
        <f>I23+J23+K23</f>
      </c>
      <c r="M23" s="3">
        <f>(I23+J23)*0.14*0.92</f>
      </c>
      <c r="N23" s="3">
        <f>C23*G23*12*1.25*0*0.92</f>
      </c>
      <c r="O23" s="3">
        <f>L23-M23-N23</f>
      </c>
      <c r="P23" s="6">
        <v>8</v>
      </c>
      <c r="Q23" s="3">
        <f>P23*95000*1.08</f>
      </c>
      <c r="R23" s="7">
        <v>237600.00000000003</v>
      </c>
      <c r="S23" s="3">
        <f>O23-Q23-R23</f>
      </c>
      <c r="T23" s="7">
        <v>0</v>
      </c>
      <c r="U23" s="3">
        <f>U22+S23</f>
      </c>
    </row>
    <row r="24">
      <c r="A24" s="5">
        <v>4</v>
      </c>
      <c r="B24" s="6">
        <v>350</v>
      </c>
      <c r="C24" s="6">
        <v>275</v>
      </c>
      <c r="D24" s="6">
        <v>150</v>
      </c>
      <c r="E24" s="6">
        <v>16</v>
      </c>
      <c r="F24" s="7">
        <v>995.4000000000001</v>
      </c>
      <c r="G24" s="7">
        <v>0</v>
      </c>
      <c r="H24" s="7">
        <v>0.0</v>
      </c>
      <c r="I24" s="3">
        <f>C24*F24*12</f>
      </c>
      <c r="J24" s="3">
        <f>D24*4000*1.05</f>
      </c>
      <c r="K24" s="3">
        <f>C24*G24*12*1.25*H24</f>
      </c>
      <c r="L24" s="3">
        <f>I24+J24+K24</f>
      </c>
      <c r="M24" s="3">
        <f>(I24+J24)*0.145*0.92</f>
      </c>
      <c r="N24" s="3">
        <f>C24*G24*12*1.25*0*0.92</f>
      </c>
      <c r="O24" s="3">
        <f>L24-M24-N24</f>
      </c>
      <c r="P24" s="6">
        <v>13</v>
      </c>
      <c r="Q24" s="3">
        <f>P24*98000*1.08</f>
      </c>
      <c r="R24" s="7">
        <v>388800.0</v>
      </c>
      <c r="S24" s="3">
        <f>O24-Q24-R24</f>
      </c>
      <c r="T24" s="7">
        <v>0</v>
      </c>
      <c r="U24" s="3">
        <f>U23+S24</f>
      </c>
    </row>
    <row r="25">
      <c r="A25" s="5">
        <v>5</v>
      </c>
      <c r="B25" s="6">
        <v>538</v>
      </c>
      <c r="C25" s="6">
        <v>444</v>
      </c>
      <c r="D25" s="6">
        <v>188</v>
      </c>
      <c r="E25" s="6">
        <v>18</v>
      </c>
      <c r="F25" s="7">
        <v>1144.5</v>
      </c>
      <c r="G25" s="7">
        <v>0</v>
      </c>
      <c r="H25" s="7">
        <v>0.0</v>
      </c>
      <c r="I25" s="3">
        <f>C25*F25*12</f>
      </c>
      <c r="J25" s="3">
        <f>D25*4500*1.05</f>
      </c>
      <c r="K25" s="3">
        <f>C25*G25*12*1.25*H25</f>
      </c>
      <c r="L25" s="3">
        <f>I25+J25+K25</f>
      </c>
      <c r="M25" s="3">
        <f>(I25+J25)*0.15*0.92</f>
      </c>
      <c r="N25" s="3">
        <f>C25*G25*12*1.25*0*0.92</f>
      </c>
      <c r="O25" s="3">
        <f>L25-M25-N25</f>
      </c>
      <c r="P25" s="6">
        <v>19</v>
      </c>
      <c r="Q25" s="3">
        <f>P25*100000*1.08</f>
      </c>
      <c r="R25" s="7">
        <v>604800.0</v>
      </c>
      <c r="S25" s="3">
        <f>O25-Q25-R25</f>
      </c>
      <c r="T25" s="7">
        <v>0</v>
      </c>
      <c r="U25" s="3">
        <f>U24+S25</f>
      </c>
    </row>
  </sheetData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1" topLeftCell="A5" activePane="bottomLeft" state="frozen"/>
    </sheetView>
  </sheetViews>
  <cols>
    <col min="1" max="1" width="8" customWidth="1"/>
    <col min="2" max="2" width="18" customWidth="1"/>
    <col min="3" max="3" width="18" customWidth="1"/>
    <col min="4" max="4" width="14" customWidth="1"/>
    <col min="5" max="5" width="14" customWidth="1"/>
    <col min="6" max="6" width="20" customWidth="1"/>
    <col min="7" max="7" width="20" customWidth="1"/>
    <col min="8" max="8" width="18" customWidth="1"/>
    <col min="9" max="9" width="20" customWidth="1"/>
    <col min="10" max="10" width="18" customWidth="1"/>
    <col min="11" max="11" width="18" customWidth="1"/>
    <col min="12" max="12" width="18" customWidth="1"/>
    <col min="13" max="13" width="18" customWidth="1"/>
    <col min="14" max="14" width="20" customWidth="1"/>
    <col min="15" max="15" width="18" customWidth="1"/>
    <col min="16" max="16" width="12" customWidth="1"/>
    <col min="17" max="17" width="18" customWidth="1"/>
    <col min="18" max="18" width="16" customWidth="1"/>
    <col min="19" max="19" width="18" customWidth="1"/>
    <col min="20" max="20" width="18" customWidth="1"/>
    <col min="21" max="21" width="22" customWidth="1"/>
  </cols>
  <sheetData>
    <row r="1">
      <c r="A1" s="1" t="inlineStr">
        <is>
          <t>Valtakunnallinen tieto-operaattori</t>
        </is>
      </c>
    </row>
    <row r="3">
      <c r="A3" s="1" t="inlineStr">
        <is>
          <t>Heikko skenaario</t>
        </is>
      </c>
    </row>
    <row r="4" ht="42" customHeight="1">
      <c r="A4" s="2" t="inlineStr">
        <is>
          <t>Vuosi</t>
        </is>
      </c>
      <c r="B4" s="2" t="inlineStr">
        <is>
          <t>Asiakkaat vuoden lopussa</t>
        </is>
      </c>
      <c r="C4" s="2" t="inlineStr">
        <is>
          <t>Keskimääräiset asiakkaat</t>
        </is>
      </c>
      <c r="D4" s="2" t="inlineStr">
        <is>
          <t>Uudet asiakkaat</t>
        </is>
      </c>
      <c r="E4" s="2" t="inlineStr">
        <is>
          <t>Käyttäjät / asiakas</t>
        </is>
      </c>
      <c r="F4" s="2" t="inlineStr">
        <is>
          <t>Jatkuva palvelu / asiakas / kk</t>
        </is>
      </c>
      <c r="G4" s="2" t="inlineStr">
        <is>
          <t>Tokenit miljoonaa / asiakas / kk</t>
        </is>
      </c>
      <c r="H4" s="2" t="inlineStr">
        <is>
          <t>Tokenhinta / miljoona</t>
        </is>
      </c>
      <c r="I4" s="2" t="inlineStr">
        <is>
          <t>Jatkuvan palvelun liikevaihto</t>
        </is>
      </c>
      <c r="J4" s="2" t="inlineStr">
        <is>
          <t>Käyttöönotot</t>
        </is>
      </c>
      <c r="K4" s="2" t="inlineStr">
        <is>
          <t>Tokenliikevaihto</t>
        </is>
      </c>
      <c r="L4" s="2" t="inlineStr">
        <is>
          <t>Liikevaihto</t>
        </is>
      </c>
      <c r="M4" s="2" t="inlineStr">
        <is>
          <t>Suorat palvelukulut</t>
        </is>
      </c>
      <c r="N4" s="2" t="inlineStr">
        <is>
          <t>Tokenien tukkukustannus</t>
        </is>
      </c>
      <c r="O4" s="2" t="inlineStr">
        <is>
          <t>Myyntikate</t>
        </is>
      </c>
      <c r="P4" s="2" t="inlineStr">
        <is>
          <t>Henkilöstö</t>
        </is>
      </c>
      <c r="Q4" s="2" t="inlineStr">
        <is>
          <t>Henkilökustannus</t>
        </is>
      </c>
      <c r="R4" s="2" t="inlineStr">
        <is>
          <t>Kiinteät kulut</t>
        </is>
      </c>
      <c r="S4" s="2" t="inlineStr">
        <is>
          <t>Käyttökate</t>
        </is>
      </c>
      <c r="T4" s="2" t="inlineStr">
        <is>
          <t>Alkuinvestointi</t>
        </is>
      </c>
      <c r="U4" s="2" t="inlineStr">
        <is>
          <t>Kumulatiivinen kassa</t>
        </is>
      </c>
    </row>
    <row r="5">
      <c r="A5" s="5">
        <v>1</v>
      </c>
      <c r="B5" s="6">
        <v>140</v>
      </c>
      <c r="C5" s="6">
        <v>70</v>
      </c>
      <c r="D5" s="6">
        <v>140</v>
      </c>
      <c r="E5" s="6">
        <v>18</v>
      </c>
      <c r="F5" s="7">
        <v>806.4</v>
      </c>
      <c r="G5" s="7">
        <v>0</v>
      </c>
      <c r="H5" s="7">
        <v>0.0</v>
      </c>
      <c r="I5" s="3">
        <f>C5*F5*12</f>
      </c>
      <c r="J5" s="3">
        <f>D5*3500*0.9</f>
      </c>
      <c r="K5" s="3">
        <f>C5*G5*12*0.7*H5</f>
      </c>
      <c r="L5" s="3">
        <f>I5+J5+K5</f>
      </c>
      <c r="M5" s="3">
        <f>(I5+J5)*0.13*1.12</f>
      </c>
      <c r="N5" s="3">
        <f>C5*G5*12*0.7*0*1.12</f>
      </c>
      <c r="O5" s="3">
        <f>L5-M5-N5</f>
      </c>
      <c r="P5" s="6">
        <v>20</v>
      </c>
      <c r="Q5" s="3">
        <f>P5*105000*1.05</f>
      </c>
      <c r="R5" s="7">
        <v>1100000.0</v>
      </c>
      <c r="S5" s="3">
        <f>O5-Q5-R5</f>
      </c>
      <c r="T5" s="7">
        <v>2750000.0</v>
      </c>
      <c r="U5" s="3">
        <f>S5-2750000.0</f>
      </c>
    </row>
    <row r="6">
      <c r="A6" s="5">
        <v>2</v>
      </c>
      <c r="B6" s="6">
        <v>385</v>
      </c>
      <c r="C6" s="6">
        <v>262</v>
      </c>
      <c r="D6" s="6">
        <v>245</v>
      </c>
      <c r="E6" s="6">
        <v>20</v>
      </c>
      <c r="F6" s="7">
        <v>927.0</v>
      </c>
      <c r="G6" s="7">
        <v>0</v>
      </c>
      <c r="H6" s="7">
        <v>0.0</v>
      </c>
      <c r="I6" s="3">
        <f>C6*F6*12</f>
      </c>
      <c r="J6" s="3">
        <f>D6*4000*0.9</f>
      </c>
      <c r="K6" s="3">
        <f>C6*G6*12*0.7*H6</f>
      </c>
      <c r="L6" s="3">
        <f>I6+J6+K6</f>
      </c>
      <c r="M6" s="3">
        <f>(I6+J6)*0.14*1.12</f>
      </c>
      <c r="N6" s="3">
        <f>C6*G6*12*0.7*0*1.12</f>
      </c>
      <c r="O6" s="3">
        <f>L6-M6-N6</f>
      </c>
      <c r="P6" s="6">
        <v>35</v>
      </c>
      <c r="Q6" s="3">
        <f>P6*108000*1.05</f>
      </c>
      <c r="R6" s="7">
        <v>1980000.0000000002</v>
      </c>
      <c r="S6" s="3">
        <f>O6-Q6-R6</f>
      </c>
      <c r="T6" s="7">
        <v>0</v>
      </c>
      <c r="U6" s="3">
        <f>U5+S6</f>
      </c>
    </row>
    <row r="7">
      <c r="A7" s="5">
        <v>3</v>
      </c>
      <c r="B7" s="6">
        <v>770</v>
      </c>
      <c r="C7" s="6">
        <v>578</v>
      </c>
      <c r="D7" s="6">
        <v>385</v>
      </c>
      <c r="E7" s="6">
        <v>23</v>
      </c>
      <c r="F7" s="7">
        <v>1098.9</v>
      </c>
      <c r="G7" s="7">
        <v>0</v>
      </c>
      <c r="H7" s="7">
        <v>0.0</v>
      </c>
      <c r="I7" s="3">
        <f>C7*F7*12</f>
      </c>
      <c r="J7" s="3">
        <f>D7*4500*0.9</f>
      </c>
      <c r="K7" s="3">
        <f>C7*G7*12*0.7*H7</f>
      </c>
      <c r="L7" s="3">
        <f>I7+J7+K7</f>
      </c>
      <c r="M7" s="3">
        <f>(I7+J7)*0.145*1.12</f>
      </c>
      <c r="N7" s="3">
        <f>C7*G7*12*0.7*0*1.12</f>
      </c>
      <c r="O7" s="3">
        <f>L7-M7-N7</f>
      </c>
      <c r="P7" s="6">
        <v>58</v>
      </c>
      <c r="Q7" s="3">
        <f>P7*111000*1.05</f>
      </c>
      <c r="R7" s="7">
        <v>3520000.0000000005</v>
      </c>
      <c r="S7" s="3">
        <f>O7-Q7-R7</f>
      </c>
      <c r="T7" s="7">
        <v>0</v>
      </c>
      <c r="U7" s="3">
        <f>U6+S7</f>
      </c>
    </row>
    <row r="8">
      <c r="A8" s="5">
        <v>4</v>
      </c>
      <c r="B8" s="6">
        <v>1260</v>
      </c>
      <c r="C8" s="6">
        <v>1015</v>
      </c>
      <c r="D8" s="6">
        <v>490</v>
      </c>
      <c r="E8" s="6">
        <v>26</v>
      </c>
      <c r="F8" s="7">
        <v>1287.0</v>
      </c>
      <c r="G8" s="7">
        <v>0</v>
      </c>
      <c r="H8" s="7">
        <v>0.0</v>
      </c>
      <c r="I8" s="3">
        <f>C8*F8*12</f>
      </c>
      <c r="J8" s="3">
        <f>D8*5000*0.9</f>
      </c>
      <c r="K8" s="3">
        <f>C8*G8*12*0.7*H8</f>
      </c>
      <c r="L8" s="3">
        <f>I8+J8+K8</f>
      </c>
      <c r="M8" s="3">
        <f>(I8+J8)*0.15*1.12</f>
      </c>
      <c r="N8" s="3">
        <f>C8*G8*12*0.7*0*1.12</f>
      </c>
      <c r="O8" s="3">
        <f>L8-M8-N8</f>
      </c>
      <c r="P8" s="6">
        <v>90</v>
      </c>
      <c r="Q8" s="3">
        <f>P8*114000*1.05</f>
      </c>
      <c r="R8" s="7">
        <v>5720000.0</v>
      </c>
      <c r="S8" s="3">
        <f>O8-Q8-R8</f>
      </c>
      <c r="T8" s="7">
        <v>0</v>
      </c>
      <c r="U8" s="3">
        <f>U7+S8</f>
      </c>
    </row>
    <row r="9">
      <c r="A9" s="5">
        <v>5</v>
      </c>
      <c r="B9" s="6">
        <v>1890</v>
      </c>
      <c r="C9" s="6">
        <v>1575</v>
      </c>
      <c r="D9" s="6">
        <v>630</v>
      </c>
      <c r="E9" s="6">
        <v>30</v>
      </c>
      <c r="F9" s="7">
        <v>1494.0</v>
      </c>
      <c r="G9" s="7">
        <v>0</v>
      </c>
      <c r="H9" s="7">
        <v>0.0</v>
      </c>
      <c r="I9" s="3">
        <f>C9*F9*12</f>
      </c>
      <c r="J9" s="3">
        <f>D9*6000*0.9</f>
      </c>
      <c r="K9" s="3">
        <f>C9*G9*12*0.7*H9</f>
      </c>
      <c r="L9" s="3">
        <f>I9+J9+K9</f>
      </c>
      <c r="M9" s="3">
        <f>(I9+J9)*0.16*1.12</f>
      </c>
      <c r="N9" s="3">
        <f>C9*G9*12*0.7*0*1.12</f>
      </c>
      <c r="O9" s="3">
        <f>L9-M9-N9</f>
      </c>
      <c r="P9" s="6">
        <v>130</v>
      </c>
      <c r="Q9" s="3">
        <f>P9*118000*1.05</f>
      </c>
      <c r="R9" s="7">
        <v>8800000.0</v>
      </c>
      <c r="S9" s="3">
        <f>O9-Q9-R9</f>
      </c>
      <c r="T9" s="7">
        <v>0</v>
      </c>
      <c r="U9" s="3">
        <f>U8+S9</f>
      </c>
    </row>
    <row r="11">
      <c r="A11" s="1" t="inlineStr">
        <is>
          <t>Perus skenaario</t>
        </is>
      </c>
    </row>
    <row r="12" ht="42" customHeight="1">
      <c r="A12" s="2" t="inlineStr">
        <is>
          <t>Vuosi</t>
        </is>
      </c>
      <c r="B12" s="2" t="inlineStr">
        <is>
          <t>Asiakkaat vuoden lopussa</t>
        </is>
      </c>
      <c r="C12" s="2" t="inlineStr">
        <is>
          <t>Keskimääräiset asiakkaat</t>
        </is>
      </c>
      <c r="D12" s="2" t="inlineStr">
        <is>
          <t>Uudet asiakkaat</t>
        </is>
      </c>
      <c r="E12" s="2" t="inlineStr">
        <is>
          <t>Käyttäjät / asiakas</t>
        </is>
      </c>
      <c r="F12" s="2" t="inlineStr">
        <is>
          <t>Jatkuva palvelu / asiakas / kk</t>
        </is>
      </c>
      <c r="G12" s="2" t="inlineStr">
        <is>
          <t>Tokenit miljoonaa / asiakas / kk</t>
        </is>
      </c>
      <c r="H12" s="2" t="inlineStr">
        <is>
          <t>Tokenhinta / miljoona</t>
        </is>
      </c>
      <c r="I12" s="2" t="inlineStr">
        <is>
          <t>Jatkuvan palvelun liikevaihto</t>
        </is>
      </c>
      <c r="J12" s="2" t="inlineStr">
        <is>
          <t>Käyttöönotot</t>
        </is>
      </c>
      <c r="K12" s="2" t="inlineStr">
        <is>
          <t>Tokenliikevaihto</t>
        </is>
      </c>
      <c r="L12" s="2" t="inlineStr">
        <is>
          <t>Liikevaihto</t>
        </is>
      </c>
      <c r="M12" s="2" t="inlineStr">
        <is>
          <t>Suorat palvelukulut</t>
        </is>
      </c>
      <c r="N12" s="2" t="inlineStr">
        <is>
          <t>Tokenien tukkukustannus</t>
        </is>
      </c>
      <c r="O12" s="2" t="inlineStr">
        <is>
          <t>Myyntikate</t>
        </is>
      </c>
      <c r="P12" s="2" t="inlineStr">
        <is>
          <t>Henkilöstö</t>
        </is>
      </c>
      <c r="Q12" s="2" t="inlineStr">
        <is>
          <t>Henkilökustannus</t>
        </is>
      </c>
      <c r="R12" s="2" t="inlineStr">
        <is>
          <t>Kiinteät kulut</t>
        </is>
      </c>
      <c r="S12" s="2" t="inlineStr">
        <is>
          <t>Käyttökate</t>
        </is>
      </c>
      <c r="T12" s="2" t="inlineStr">
        <is>
          <t>Alkuinvestointi</t>
        </is>
      </c>
      <c r="U12" s="2" t="inlineStr">
        <is>
          <t>Kumulatiivinen kassa</t>
        </is>
      </c>
    </row>
    <row r="13">
      <c r="A13" s="5">
        <v>1</v>
      </c>
      <c r="B13" s="6">
        <v>200</v>
      </c>
      <c r="C13" s="6">
        <v>100</v>
      </c>
      <c r="D13" s="6">
        <v>200</v>
      </c>
      <c r="E13" s="6">
        <v>18</v>
      </c>
      <c r="F13" s="7">
        <v>896.0</v>
      </c>
      <c r="G13" s="7">
        <v>0</v>
      </c>
      <c r="H13" s="7">
        <v>0.0</v>
      </c>
      <c r="I13" s="3">
        <f>C13*F13*12</f>
      </c>
      <c r="J13" s="3">
        <f>D13*3500*1.0</f>
      </c>
      <c r="K13" s="3">
        <f>C13*G13*12*1.0*H13</f>
      </c>
      <c r="L13" s="3">
        <f>I13+J13+K13</f>
      </c>
      <c r="M13" s="3">
        <f>(I13+J13)*0.13*1.0</f>
      </c>
      <c r="N13" s="3">
        <f>C13*G13*12*1.0*0*1.0</f>
      </c>
      <c r="O13" s="3">
        <f>L13-M13-N13</f>
      </c>
      <c r="P13" s="6">
        <v>20</v>
      </c>
      <c r="Q13" s="3">
        <f>P13*105000*1.0</f>
      </c>
      <c r="R13" s="7">
        <v>1000000.0</v>
      </c>
      <c r="S13" s="3">
        <f>O13-Q13-R13</f>
      </c>
      <c r="T13" s="7">
        <v>2500000.0</v>
      </c>
      <c r="U13" s="3">
        <f>S13-2500000.0</f>
      </c>
    </row>
    <row r="14">
      <c r="A14" s="5">
        <v>2</v>
      </c>
      <c r="B14" s="6">
        <v>550</v>
      </c>
      <c r="C14" s="6">
        <v>375</v>
      </c>
      <c r="D14" s="6">
        <v>350</v>
      </c>
      <c r="E14" s="6">
        <v>20</v>
      </c>
      <c r="F14" s="7">
        <v>1030.0</v>
      </c>
      <c r="G14" s="7">
        <v>0</v>
      </c>
      <c r="H14" s="7">
        <v>0.0</v>
      </c>
      <c r="I14" s="3">
        <f>C14*F14*12</f>
      </c>
      <c r="J14" s="3">
        <f>D14*4000*1.0</f>
      </c>
      <c r="K14" s="3">
        <f>C14*G14*12*1.0*H14</f>
      </c>
      <c r="L14" s="3">
        <f>I14+J14+K14</f>
      </c>
      <c r="M14" s="3">
        <f>(I14+J14)*0.14*1.0</f>
      </c>
      <c r="N14" s="3">
        <f>C14*G14*12*1.0*0*1.0</f>
      </c>
      <c r="O14" s="3">
        <f>L14-M14-N14</f>
      </c>
      <c r="P14" s="6">
        <v>35</v>
      </c>
      <c r="Q14" s="3">
        <f>P14*108000*1.0</f>
      </c>
      <c r="R14" s="7">
        <v>1800000.0</v>
      </c>
      <c r="S14" s="3">
        <f>O14-Q14-R14</f>
      </c>
      <c r="T14" s="7">
        <v>0</v>
      </c>
      <c r="U14" s="3">
        <f>U13+S14</f>
      </c>
    </row>
    <row r="15">
      <c r="A15" s="5">
        <v>3</v>
      </c>
      <c r="B15" s="6">
        <v>1100</v>
      </c>
      <c r="C15" s="6">
        <v>825</v>
      </c>
      <c r="D15" s="6">
        <v>550</v>
      </c>
      <c r="E15" s="6">
        <v>23</v>
      </c>
      <c r="F15" s="7">
        <v>1221.0</v>
      </c>
      <c r="G15" s="7">
        <v>0</v>
      </c>
      <c r="H15" s="7">
        <v>0.0</v>
      </c>
      <c r="I15" s="3">
        <f>C15*F15*12</f>
      </c>
      <c r="J15" s="3">
        <f>D15*4500*1.0</f>
      </c>
      <c r="K15" s="3">
        <f>C15*G15*12*1.0*H15</f>
      </c>
      <c r="L15" s="3">
        <f>I15+J15+K15</f>
      </c>
      <c r="M15" s="3">
        <f>(I15+J15)*0.145*1.0</f>
      </c>
      <c r="N15" s="3">
        <f>C15*G15*12*1.0*0*1.0</f>
      </c>
      <c r="O15" s="3">
        <f>L15-M15-N15</f>
      </c>
      <c r="P15" s="6">
        <v>58</v>
      </c>
      <c r="Q15" s="3">
        <f>P15*111000*1.0</f>
      </c>
      <c r="R15" s="7">
        <v>3200000.0</v>
      </c>
      <c r="S15" s="3">
        <f>O15-Q15-R15</f>
      </c>
      <c r="T15" s="7">
        <v>0</v>
      </c>
      <c r="U15" s="3">
        <f>U14+S15</f>
      </c>
    </row>
    <row r="16">
      <c r="A16" s="5">
        <v>4</v>
      </c>
      <c r="B16" s="6">
        <v>1800</v>
      </c>
      <c r="C16" s="6">
        <v>1450</v>
      </c>
      <c r="D16" s="6">
        <v>700</v>
      </c>
      <c r="E16" s="6">
        <v>26</v>
      </c>
      <c r="F16" s="7">
        <v>1430.0</v>
      </c>
      <c r="G16" s="7">
        <v>0</v>
      </c>
      <c r="H16" s="7">
        <v>0.0</v>
      </c>
      <c r="I16" s="3">
        <f>C16*F16*12</f>
      </c>
      <c r="J16" s="3">
        <f>D16*5000*1.0</f>
      </c>
      <c r="K16" s="3">
        <f>C16*G16*12*1.0*H16</f>
      </c>
      <c r="L16" s="3">
        <f>I16+J16+K16</f>
      </c>
      <c r="M16" s="3">
        <f>(I16+J16)*0.15*1.0</f>
      </c>
      <c r="N16" s="3">
        <f>C16*G16*12*1.0*0*1.0</f>
      </c>
      <c r="O16" s="3">
        <f>L16-M16-N16</f>
      </c>
      <c r="P16" s="6">
        <v>90</v>
      </c>
      <c r="Q16" s="3">
        <f>P16*114000*1.0</f>
      </c>
      <c r="R16" s="7">
        <v>5200000.0</v>
      </c>
      <c r="S16" s="3">
        <f>O16-Q16-R16</f>
      </c>
      <c r="T16" s="7">
        <v>0</v>
      </c>
      <c r="U16" s="3">
        <f>U15+S16</f>
      </c>
    </row>
    <row r="17">
      <c r="A17" s="5">
        <v>5</v>
      </c>
      <c r="B17" s="6">
        <v>2700</v>
      </c>
      <c r="C17" s="6">
        <v>2250</v>
      </c>
      <c r="D17" s="6">
        <v>900</v>
      </c>
      <c r="E17" s="6">
        <v>30</v>
      </c>
      <c r="F17" s="7">
        <v>1660.0</v>
      </c>
      <c r="G17" s="7">
        <v>0</v>
      </c>
      <c r="H17" s="7">
        <v>0.0</v>
      </c>
      <c r="I17" s="3">
        <f>C17*F17*12</f>
      </c>
      <c r="J17" s="3">
        <f>D17*6000*1.0</f>
      </c>
      <c r="K17" s="3">
        <f>C17*G17*12*1.0*H17</f>
      </c>
      <c r="L17" s="3">
        <f>I17+J17+K17</f>
      </c>
      <c r="M17" s="3">
        <f>(I17+J17)*0.16*1.0</f>
      </c>
      <c r="N17" s="3">
        <f>C17*G17*12*1.0*0*1.0</f>
      </c>
      <c r="O17" s="3">
        <f>L17-M17-N17</f>
      </c>
      <c r="P17" s="6">
        <v>130</v>
      </c>
      <c r="Q17" s="3">
        <f>P17*118000*1.0</f>
      </c>
      <c r="R17" s="7">
        <v>8000000.0</v>
      </c>
      <c r="S17" s="3">
        <f>O17-Q17-R17</f>
      </c>
      <c r="T17" s="7">
        <v>0</v>
      </c>
      <c r="U17" s="3">
        <f>U16+S17</f>
      </c>
    </row>
    <row r="19">
      <c r="A19" s="1" t="inlineStr">
        <is>
          <t>Vahva skenaario</t>
        </is>
      </c>
    </row>
    <row r="20" ht="42" customHeight="1">
      <c r="A20" s="2" t="inlineStr">
        <is>
          <t>Vuosi</t>
        </is>
      </c>
      <c r="B20" s="2" t="inlineStr">
        <is>
          <t>Asiakkaat vuoden lopussa</t>
        </is>
      </c>
      <c r="C20" s="2" t="inlineStr">
        <is>
          <t>Keskimääräiset asiakkaat</t>
        </is>
      </c>
      <c r="D20" s="2" t="inlineStr">
        <is>
          <t>Uudet asiakkaat</t>
        </is>
      </c>
      <c r="E20" s="2" t="inlineStr">
        <is>
          <t>Käyttäjät / asiakas</t>
        </is>
      </c>
      <c r="F20" s="2" t="inlineStr">
        <is>
          <t>Jatkuva palvelu / asiakas / kk</t>
        </is>
      </c>
      <c r="G20" s="2" t="inlineStr">
        <is>
          <t>Tokenit miljoonaa / asiakas / kk</t>
        </is>
      </c>
      <c r="H20" s="2" t="inlineStr">
        <is>
          <t>Tokenhinta / miljoona</t>
        </is>
      </c>
      <c r="I20" s="2" t="inlineStr">
        <is>
          <t>Jatkuvan palvelun liikevaihto</t>
        </is>
      </c>
      <c r="J20" s="2" t="inlineStr">
        <is>
          <t>Käyttöönotot</t>
        </is>
      </c>
      <c r="K20" s="2" t="inlineStr">
        <is>
          <t>Tokenliikevaihto</t>
        </is>
      </c>
      <c r="L20" s="2" t="inlineStr">
        <is>
          <t>Liikevaihto</t>
        </is>
      </c>
      <c r="M20" s="2" t="inlineStr">
        <is>
          <t>Suorat palvelukulut</t>
        </is>
      </c>
      <c r="N20" s="2" t="inlineStr">
        <is>
          <t>Tokenien tukkukustannus</t>
        </is>
      </c>
      <c r="O20" s="2" t="inlineStr">
        <is>
          <t>Myyntikate</t>
        </is>
      </c>
      <c r="P20" s="2" t="inlineStr">
        <is>
          <t>Henkilöstö</t>
        </is>
      </c>
      <c r="Q20" s="2" t="inlineStr">
        <is>
          <t>Henkilökustannus</t>
        </is>
      </c>
      <c r="R20" s="2" t="inlineStr">
        <is>
          <t>Kiinteät kulut</t>
        </is>
      </c>
      <c r="S20" s="2" t="inlineStr">
        <is>
          <t>Käyttökate</t>
        </is>
      </c>
      <c r="T20" s="2" t="inlineStr">
        <is>
          <t>Alkuinvestointi</t>
        </is>
      </c>
      <c r="U20" s="2" t="inlineStr">
        <is>
          <t>Kumulatiivinen kassa</t>
        </is>
      </c>
    </row>
    <row r="21">
      <c r="A21" s="5">
        <v>1</v>
      </c>
      <c r="B21" s="6">
        <v>250</v>
      </c>
      <c r="C21" s="6">
        <v>125</v>
      </c>
      <c r="D21" s="6">
        <v>250</v>
      </c>
      <c r="E21" s="6">
        <v>18</v>
      </c>
      <c r="F21" s="7">
        <v>940.8000000000001</v>
      </c>
      <c r="G21" s="7">
        <v>0</v>
      </c>
      <c r="H21" s="7">
        <v>0.0</v>
      </c>
      <c r="I21" s="3">
        <f>C21*F21*12</f>
      </c>
      <c r="J21" s="3">
        <f>D21*3500*1.05</f>
      </c>
      <c r="K21" s="3">
        <f>C21*G21*12*1.25*H21</f>
      </c>
      <c r="L21" s="3">
        <f>I21+J21+K21</f>
      </c>
      <c r="M21" s="3">
        <f>(I21+J21)*0.13*0.92</f>
      </c>
      <c r="N21" s="3">
        <f>C21*G21*12*1.25*0*0.92</f>
      </c>
      <c r="O21" s="3">
        <f>L21-M21-N21</f>
      </c>
      <c r="P21" s="6">
        <v>20</v>
      </c>
      <c r="Q21" s="3">
        <f>P21*105000*1.08</f>
      </c>
      <c r="R21" s="7">
        <v>1080000.0</v>
      </c>
      <c r="S21" s="3">
        <f>O21-Q21-R21</f>
      </c>
      <c r="T21" s="7">
        <v>2375000.0</v>
      </c>
      <c r="U21" s="3">
        <f>S21-2375000.0</f>
      </c>
    </row>
    <row r="22">
      <c r="A22" s="5">
        <v>2</v>
      </c>
      <c r="B22" s="6">
        <v>688</v>
      </c>
      <c r="C22" s="6">
        <v>469</v>
      </c>
      <c r="D22" s="6">
        <v>438</v>
      </c>
      <c r="E22" s="6">
        <v>20</v>
      </c>
      <c r="F22" s="7">
        <v>1081.5</v>
      </c>
      <c r="G22" s="7">
        <v>0</v>
      </c>
      <c r="H22" s="7">
        <v>0.0</v>
      </c>
      <c r="I22" s="3">
        <f>C22*F22*12</f>
      </c>
      <c r="J22" s="3">
        <f>D22*4000*1.05</f>
      </c>
      <c r="K22" s="3">
        <f>C22*G22*12*1.25*H22</f>
      </c>
      <c r="L22" s="3">
        <f>I22+J22+K22</f>
      </c>
      <c r="M22" s="3">
        <f>(I22+J22)*0.14*0.92</f>
      </c>
      <c r="N22" s="3">
        <f>C22*G22*12*1.25*0*0.92</f>
      </c>
      <c r="O22" s="3">
        <f>L22-M22-N22</f>
      </c>
      <c r="P22" s="6">
        <v>35</v>
      </c>
      <c r="Q22" s="3">
        <f>P22*108000*1.08</f>
      </c>
      <c r="R22" s="7">
        <v>1944000.0000000002</v>
      </c>
      <c r="S22" s="3">
        <f>O22-Q22-R22</f>
      </c>
      <c r="T22" s="7">
        <v>0</v>
      </c>
      <c r="U22" s="3">
        <f>U21+S22</f>
      </c>
    </row>
    <row r="23">
      <c r="A23" s="5">
        <v>3</v>
      </c>
      <c r="B23" s="6">
        <v>1375</v>
      </c>
      <c r="C23" s="6">
        <v>1031</v>
      </c>
      <c r="D23" s="6">
        <v>688</v>
      </c>
      <c r="E23" s="6">
        <v>23</v>
      </c>
      <c r="F23" s="7">
        <v>1282.05</v>
      </c>
      <c r="G23" s="7">
        <v>0</v>
      </c>
      <c r="H23" s="7">
        <v>0.0</v>
      </c>
      <c r="I23" s="3">
        <f>C23*F23*12</f>
      </c>
      <c r="J23" s="3">
        <f>D23*4500*1.05</f>
      </c>
      <c r="K23" s="3">
        <f>C23*G23*12*1.25*H23</f>
      </c>
      <c r="L23" s="3">
        <f>I23+J23+K23</f>
      </c>
      <c r="M23" s="3">
        <f>(I23+J23)*0.145*0.92</f>
      </c>
      <c r="N23" s="3">
        <f>C23*G23*12*1.25*0*0.92</f>
      </c>
      <c r="O23" s="3">
        <f>L23-M23-N23</f>
      </c>
      <c r="P23" s="6">
        <v>58</v>
      </c>
      <c r="Q23" s="3">
        <f>P23*111000*1.08</f>
      </c>
      <c r="R23" s="7">
        <v>3456000.0</v>
      </c>
      <c r="S23" s="3">
        <f>O23-Q23-R23</f>
      </c>
      <c r="T23" s="7">
        <v>0</v>
      </c>
      <c r="U23" s="3">
        <f>U22+S23</f>
      </c>
    </row>
    <row r="24">
      <c r="A24" s="5">
        <v>4</v>
      </c>
      <c r="B24" s="6">
        <v>2250</v>
      </c>
      <c r="C24" s="6">
        <v>1812</v>
      </c>
      <c r="D24" s="6">
        <v>875</v>
      </c>
      <c r="E24" s="6">
        <v>26</v>
      </c>
      <c r="F24" s="7">
        <v>1501.5</v>
      </c>
      <c r="G24" s="7">
        <v>0</v>
      </c>
      <c r="H24" s="7">
        <v>0.0</v>
      </c>
      <c r="I24" s="3">
        <f>C24*F24*12</f>
      </c>
      <c r="J24" s="3">
        <f>D24*5000*1.05</f>
      </c>
      <c r="K24" s="3">
        <f>C24*G24*12*1.25*H24</f>
      </c>
      <c r="L24" s="3">
        <f>I24+J24+K24</f>
      </c>
      <c r="M24" s="3">
        <f>(I24+J24)*0.15*0.92</f>
      </c>
      <c r="N24" s="3">
        <f>C24*G24*12*1.25*0*0.92</f>
      </c>
      <c r="O24" s="3">
        <f>L24-M24-N24</f>
      </c>
      <c r="P24" s="6">
        <v>90</v>
      </c>
      <c r="Q24" s="3">
        <f>P24*114000*1.08</f>
      </c>
      <c r="R24" s="7">
        <v>5616000.0</v>
      </c>
      <c r="S24" s="3">
        <f>O24-Q24-R24</f>
      </c>
      <c r="T24" s="7">
        <v>0</v>
      </c>
      <c r="U24" s="3">
        <f>U23+S24</f>
      </c>
    </row>
    <row r="25">
      <c r="A25" s="5">
        <v>5</v>
      </c>
      <c r="B25" s="6">
        <v>3375</v>
      </c>
      <c r="C25" s="6">
        <v>2812</v>
      </c>
      <c r="D25" s="6">
        <v>1125</v>
      </c>
      <c r="E25" s="6">
        <v>30</v>
      </c>
      <c r="F25" s="7">
        <v>1743.0</v>
      </c>
      <c r="G25" s="7">
        <v>0</v>
      </c>
      <c r="H25" s="7">
        <v>0.0</v>
      </c>
      <c r="I25" s="3">
        <f>C25*F25*12</f>
      </c>
      <c r="J25" s="3">
        <f>D25*6000*1.05</f>
      </c>
      <c r="K25" s="3">
        <f>C25*G25*12*1.25*H25</f>
      </c>
      <c r="L25" s="3">
        <f>I25+J25+K25</f>
      </c>
      <c r="M25" s="3">
        <f>(I25+J25)*0.16*0.92</f>
      </c>
      <c r="N25" s="3">
        <f>C25*G25*12*1.25*0*0.92</f>
      </c>
      <c r="O25" s="3">
        <f>L25-M25-N25</f>
      </c>
      <c r="P25" s="6">
        <v>130</v>
      </c>
      <c r="Q25" s="3">
        <f>P25*118000*1.08</f>
      </c>
      <c r="R25" s="7">
        <v>8640000.0</v>
      </c>
      <c r="S25" s="3">
        <f>O25-Q25-R25</f>
      </c>
      <c r="T25" s="7">
        <v>0</v>
      </c>
      <c r="U25" s="3">
        <f>U24+S25</f>
      </c>
    </row>
  </sheetData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1" topLeftCell="A5" activePane="bottomLeft" state="frozen"/>
    </sheetView>
  </sheetViews>
  <cols>
    <col min="1" max="1" width="8" customWidth="1"/>
    <col min="2" max="2" width="18" customWidth="1"/>
    <col min="3" max="3" width="18" customWidth="1"/>
    <col min="4" max="4" width="14" customWidth="1"/>
    <col min="5" max="5" width="14" customWidth="1"/>
    <col min="6" max="6" width="20" customWidth="1"/>
    <col min="7" max="7" width="20" customWidth="1"/>
    <col min="8" max="8" width="18" customWidth="1"/>
    <col min="9" max="9" width="20" customWidth="1"/>
    <col min="10" max="10" width="18" customWidth="1"/>
    <col min="11" max="11" width="18" customWidth="1"/>
    <col min="12" max="12" width="18" customWidth="1"/>
    <col min="13" max="13" width="18" customWidth="1"/>
    <col min="14" max="14" width="20" customWidth="1"/>
    <col min="15" max="15" width="18" customWidth="1"/>
    <col min="16" max="16" width="12" customWidth="1"/>
    <col min="17" max="17" width="18" customWidth="1"/>
    <col min="18" max="18" width="16" customWidth="1"/>
    <col min="19" max="19" width="18" customWidth="1"/>
    <col min="20" max="20" width="18" customWidth="1"/>
    <col min="21" max="21" width="22" customWidth="1"/>
  </cols>
  <sheetData>
    <row r="1">
      <c r="A1" s="1" t="inlineStr">
        <is>
          <t>Toimialakohtainen yhdistelmäoperaattori</t>
        </is>
      </c>
    </row>
    <row r="3">
      <c r="A3" s="1" t="inlineStr">
        <is>
          <t>Heikko skenaario</t>
        </is>
      </c>
    </row>
    <row r="4" ht="42" customHeight="1">
      <c r="A4" s="2" t="inlineStr">
        <is>
          <t>Vuosi</t>
        </is>
      </c>
      <c r="B4" s="2" t="inlineStr">
        <is>
          <t>Asiakkaat vuoden lopussa</t>
        </is>
      </c>
      <c r="C4" s="2" t="inlineStr">
        <is>
          <t>Keskimääräiset asiakkaat</t>
        </is>
      </c>
      <c r="D4" s="2" t="inlineStr">
        <is>
          <t>Uudet asiakkaat</t>
        </is>
      </c>
      <c r="E4" s="2" t="inlineStr">
        <is>
          <t>Käyttäjät / asiakas</t>
        </is>
      </c>
      <c r="F4" s="2" t="inlineStr">
        <is>
          <t>Jatkuva palvelu / asiakas / kk</t>
        </is>
      </c>
      <c r="G4" s="2" t="inlineStr">
        <is>
          <t>Tokenit miljoonaa / asiakas / kk</t>
        </is>
      </c>
      <c r="H4" s="2" t="inlineStr">
        <is>
          <t>Tokenhinta / miljoona</t>
        </is>
      </c>
      <c r="I4" s="2" t="inlineStr">
        <is>
          <t>Jatkuvan palvelun liikevaihto</t>
        </is>
      </c>
      <c r="J4" s="2" t="inlineStr">
        <is>
          <t>Käyttöönotot</t>
        </is>
      </c>
      <c r="K4" s="2" t="inlineStr">
        <is>
          <t>Tokenliikevaihto</t>
        </is>
      </c>
      <c r="L4" s="2" t="inlineStr">
        <is>
          <t>Liikevaihto</t>
        </is>
      </c>
      <c r="M4" s="2" t="inlineStr">
        <is>
          <t>Suorat palvelukulut</t>
        </is>
      </c>
      <c r="N4" s="2" t="inlineStr">
        <is>
          <t>Tokenien tukkukustannus</t>
        </is>
      </c>
      <c r="O4" s="2" t="inlineStr">
        <is>
          <t>Myyntikate</t>
        </is>
      </c>
      <c r="P4" s="2" t="inlineStr">
        <is>
          <t>Henkilöstö</t>
        </is>
      </c>
      <c r="Q4" s="2" t="inlineStr">
        <is>
          <t>Henkilökustannus</t>
        </is>
      </c>
      <c r="R4" s="2" t="inlineStr">
        <is>
          <t>Kiinteät kulut</t>
        </is>
      </c>
      <c r="S4" s="2" t="inlineStr">
        <is>
          <t>Käyttökate</t>
        </is>
      </c>
      <c r="T4" s="2" t="inlineStr">
        <is>
          <t>Alkuinvestointi</t>
        </is>
      </c>
      <c r="U4" s="2" t="inlineStr">
        <is>
          <t>Kumulatiivinen kassa</t>
        </is>
      </c>
    </row>
    <row r="5">
      <c r="A5" s="5">
        <v>1</v>
      </c>
      <c r="B5" s="6">
        <v>21</v>
      </c>
      <c r="C5" s="6">
        <v>10</v>
      </c>
      <c r="D5" s="6">
        <v>21</v>
      </c>
      <c r="E5" s="6">
        <v>12</v>
      </c>
      <c r="F5" s="7">
        <v>720.0</v>
      </c>
      <c r="G5" s="7">
        <v>150</v>
      </c>
      <c r="H5" s="7">
        <v>0.9900000000000001</v>
      </c>
      <c r="I5" s="3">
        <f>C5*F5*12</f>
      </c>
      <c r="J5" s="3">
        <f>D5*4000*0.9</f>
      </c>
      <c r="K5" s="3">
        <f>C5*G5*12*0.7*H5</f>
      </c>
      <c r="L5" s="3">
        <f>I5+J5+K5</f>
      </c>
      <c r="M5" s="3">
        <f>(I5+J5)*0.12*1.12</f>
      </c>
      <c r="N5" s="3">
        <f>C5*G5*12*0.7*0.65*1.12</f>
      </c>
      <c r="O5" s="3">
        <f>L5-M5-N5</f>
      </c>
      <c r="P5" s="6">
        <v>4</v>
      </c>
      <c r="Q5" s="3">
        <f>P5*95000*1.05</f>
      </c>
      <c r="R5" s="7">
        <v>143000.0</v>
      </c>
      <c r="S5" s="3">
        <f>O5-Q5-R5</f>
      </c>
      <c r="T5" s="7">
        <v>440000.00000000006</v>
      </c>
      <c r="U5" s="3">
        <f>S5-440000.00000000006</f>
      </c>
    </row>
    <row r="6">
      <c r="A6" s="5">
        <v>2</v>
      </c>
      <c r="B6" s="6">
        <v>59</v>
      </c>
      <c r="C6" s="6">
        <v>41</v>
      </c>
      <c r="D6" s="6">
        <v>38</v>
      </c>
      <c r="E6" s="6">
        <v>14</v>
      </c>
      <c r="F6" s="7">
        <v>835.2</v>
      </c>
      <c r="G6" s="7">
        <v>200</v>
      </c>
      <c r="H6" s="7">
        <v>0.9450000000000001</v>
      </c>
      <c r="I6" s="3">
        <f>C6*F6*12</f>
      </c>
      <c r="J6" s="3">
        <f>D6*4500*0.9</f>
      </c>
      <c r="K6" s="3">
        <f>C6*G6*12*0.7*H6</f>
      </c>
      <c r="L6" s="3">
        <f>I6+J6+K6</f>
      </c>
      <c r="M6" s="3">
        <f>(I6+J6)*0.13*1.12</f>
      </c>
      <c r="N6" s="3">
        <f>C6*G6*12*0.7*0.62*1.12</f>
      </c>
      <c r="O6" s="3">
        <f>L6-M6-N6</f>
      </c>
      <c r="P6" s="6">
        <v>7</v>
      </c>
      <c r="Q6" s="3">
        <f>P6*98000*1.05</f>
      </c>
      <c r="R6" s="7">
        <v>242000.00000000003</v>
      </c>
      <c r="S6" s="3">
        <f>O6-Q6-R6</f>
      </c>
      <c r="T6" s="7">
        <v>0</v>
      </c>
      <c r="U6" s="3">
        <f>U5+S6</f>
      </c>
    </row>
    <row r="7">
      <c r="A7" s="5">
        <v>3</v>
      </c>
      <c r="B7" s="6">
        <v>119</v>
      </c>
      <c r="C7" s="6">
        <v>90</v>
      </c>
      <c r="D7" s="6">
        <v>59</v>
      </c>
      <c r="E7" s="6">
        <v>16</v>
      </c>
      <c r="F7" s="7">
        <v>990.0</v>
      </c>
      <c r="G7" s="7">
        <v>260</v>
      </c>
      <c r="H7" s="7">
        <v>0.9</v>
      </c>
      <c r="I7" s="3">
        <f>C7*F7*12</f>
      </c>
      <c r="J7" s="3">
        <f>D7*5000*0.9</f>
      </c>
      <c r="K7" s="3">
        <f>C7*G7*12*0.7*H7</f>
      </c>
      <c r="L7" s="3">
        <f>I7+J7+K7</f>
      </c>
      <c r="M7" s="3">
        <f>(I7+J7)*0.14*1.12</f>
      </c>
      <c r="N7" s="3">
        <f>C7*G7*12*0.7*0.6*1.12</f>
      </c>
      <c r="O7" s="3">
        <f>L7-M7-N7</f>
      </c>
      <c r="P7" s="6">
        <v>11</v>
      </c>
      <c r="Q7" s="3">
        <f>P7*100000*1.05</f>
      </c>
      <c r="R7" s="7">
        <v>385000.00000000006</v>
      </c>
      <c r="S7" s="3">
        <f>O7-Q7-R7</f>
      </c>
      <c r="T7" s="7">
        <v>0</v>
      </c>
      <c r="U7" s="3">
        <f>U6+S7</f>
      </c>
    </row>
    <row r="8">
      <c r="A8" s="5">
        <v>4</v>
      </c>
      <c r="B8" s="6">
        <v>196</v>
      </c>
      <c r="C8" s="6">
        <v>158</v>
      </c>
      <c r="D8" s="6">
        <v>77</v>
      </c>
      <c r="E8" s="6">
        <v>18</v>
      </c>
      <c r="F8" s="7">
        <v>1130.4</v>
      </c>
      <c r="G8" s="7">
        <v>330</v>
      </c>
      <c r="H8" s="7">
        <v>0.855</v>
      </c>
      <c r="I8" s="3">
        <f>C8*F8*12</f>
      </c>
      <c r="J8" s="3">
        <f>D8*5500*0.9</f>
      </c>
      <c r="K8" s="3">
        <f>C8*G8*12*0.7*H8</f>
      </c>
      <c r="L8" s="3">
        <f>I8+J8+K8</f>
      </c>
      <c r="M8" s="3">
        <f>(I8+J8)*0.145*1.12</f>
      </c>
      <c r="N8" s="3">
        <f>C8*G8*12*0.7*0.57*1.12</f>
      </c>
      <c r="O8" s="3">
        <f>L8-M8-N8</f>
      </c>
      <c r="P8" s="6">
        <v>17</v>
      </c>
      <c r="Q8" s="3">
        <f>P8*102000*1.05</f>
      </c>
      <c r="R8" s="7">
        <v>572000.0</v>
      </c>
      <c r="S8" s="3">
        <f>O8-Q8-R8</f>
      </c>
      <c r="T8" s="7">
        <v>0</v>
      </c>
      <c r="U8" s="3">
        <f>U7+S8</f>
      </c>
    </row>
    <row r="9">
      <c r="A9" s="5">
        <v>5</v>
      </c>
      <c r="B9" s="6">
        <v>301</v>
      </c>
      <c r="C9" s="6">
        <v>248</v>
      </c>
      <c r="D9" s="6">
        <v>105</v>
      </c>
      <c r="E9" s="6">
        <v>20</v>
      </c>
      <c r="F9" s="7">
        <v>1305.0</v>
      </c>
      <c r="G9" s="7">
        <v>400</v>
      </c>
      <c r="H9" s="7">
        <v>0.81</v>
      </c>
      <c r="I9" s="3">
        <f>C9*F9*12</f>
      </c>
      <c r="J9" s="3">
        <f>D9*6000*0.9</f>
      </c>
      <c r="K9" s="3">
        <f>C9*G9*12*0.7*H9</f>
      </c>
      <c r="L9" s="3">
        <f>I9+J9+K9</f>
      </c>
      <c r="M9" s="3">
        <f>(I9+J9)*0.15*1.12</f>
      </c>
      <c r="N9" s="3">
        <f>C9*G9*12*0.7*0.55*1.12</f>
      </c>
      <c r="O9" s="3">
        <f>L9-M9-N9</f>
      </c>
      <c r="P9" s="6">
        <v>25</v>
      </c>
      <c r="Q9" s="3">
        <f>P9*105000*1.05</f>
      </c>
      <c r="R9" s="7">
        <v>880000.0000000001</v>
      </c>
      <c r="S9" s="3">
        <f>O9-Q9-R9</f>
      </c>
      <c r="T9" s="7">
        <v>0</v>
      </c>
      <c r="U9" s="3">
        <f>U8+S9</f>
      </c>
    </row>
    <row r="11">
      <c r="A11" s="1" t="inlineStr">
        <is>
          <t>Perus skenaario</t>
        </is>
      </c>
    </row>
    <row r="12" ht="42" customHeight="1">
      <c r="A12" s="2" t="inlineStr">
        <is>
          <t>Vuosi</t>
        </is>
      </c>
      <c r="B12" s="2" t="inlineStr">
        <is>
          <t>Asiakkaat vuoden lopussa</t>
        </is>
      </c>
      <c r="C12" s="2" t="inlineStr">
        <is>
          <t>Keskimääräiset asiakkaat</t>
        </is>
      </c>
      <c r="D12" s="2" t="inlineStr">
        <is>
          <t>Uudet asiakkaat</t>
        </is>
      </c>
      <c r="E12" s="2" t="inlineStr">
        <is>
          <t>Käyttäjät / asiakas</t>
        </is>
      </c>
      <c r="F12" s="2" t="inlineStr">
        <is>
          <t>Jatkuva palvelu / asiakas / kk</t>
        </is>
      </c>
      <c r="G12" s="2" t="inlineStr">
        <is>
          <t>Tokenit miljoonaa / asiakas / kk</t>
        </is>
      </c>
      <c r="H12" s="2" t="inlineStr">
        <is>
          <t>Tokenhinta / miljoona</t>
        </is>
      </c>
      <c r="I12" s="2" t="inlineStr">
        <is>
          <t>Jatkuvan palvelun liikevaihto</t>
        </is>
      </c>
      <c r="J12" s="2" t="inlineStr">
        <is>
          <t>Käyttöönotot</t>
        </is>
      </c>
      <c r="K12" s="2" t="inlineStr">
        <is>
          <t>Tokenliikevaihto</t>
        </is>
      </c>
      <c r="L12" s="2" t="inlineStr">
        <is>
          <t>Liikevaihto</t>
        </is>
      </c>
      <c r="M12" s="2" t="inlineStr">
        <is>
          <t>Suorat palvelukulut</t>
        </is>
      </c>
      <c r="N12" s="2" t="inlineStr">
        <is>
          <t>Tokenien tukkukustannus</t>
        </is>
      </c>
      <c r="O12" s="2" t="inlineStr">
        <is>
          <t>Myyntikate</t>
        </is>
      </c>
      <c r="P12" s="2" t="inlineStr">
        <is>
          <t>Henkilöstö</t>
        </is>
      </c>
      <c r="Q12" s="2" t="inlineStr">
        <is>
          <t>Henkilökustannus</t>
        </is>
      </c>
      <c r="R12" s="2" t="inlineStr">
        <is>
          <t>Kiinteät kulut</t>
        </is>
      </c>
      <c r="S12" s="2" t="inlineStr">
        <is>
          <t>Käyttökate</t>
        </is>
      </c>
      <c r="T12" s="2" t="inlineStr">
        <is>
          <t>Alkuinvestointi</t>
        </is>
      </c>
      <c r="U12" s="2" t="inlineStr">
        <is>
          <t>Kumulatiivinen kassa</t>
        </is>
      </c>
    </row>
    <row r="13">
      <c r="A13" s="5">
        <v>1</v>
      </c>
      <c r="B13" s="6">
        <v>30</v>
      </c>
      <c r="C13" s="6">
        <v>15</v>
      </c>
      <c r="D13" s="6">
        <v>30</v>
      </c>
      <c r="E13" s="6">
        <v>12</v>
      </c>
      <c r="F13" s="7">
        <v>800.0</v>
      </c>
      <c r="G13" s="7">
        <v>150</v>
      </c>
      <c r="H13" s="7">
        <v>1.1</v>
      </c>
      <c r="I13" s="3">
        <f>C13*F13*12</f>
      </c>
      <c r="J13" s="3">
        <f>D13*4000*1.0</f>
      </c>
      <c r="K13" s="3">
        <f>C13*G13*12*1.0*H13</f>
      </c>
      <c r="L13" s="3">
        <f>I13+J13+K13</f>
      </c>
      <c r="M13" s="3">
        <f>(I13+J13)*0.12*1.0</f>
      </c>
      <c r="N13" s="3">
        <f>C13*G13*12*1.0*0.65*1.0</f>
      </c>
      <c r="O13" s="3">
        <f>L13-M13-N13</f>
      </c>
      <c r="P13" s="6">
        <v>4</v>
      </c>
      <c r="Q13" s="3">
        <f>P13*95000*1.0</f>
      </c>
      <c r="R13" s="7">
        <v>130000.0</v>
      </c>
      <c r="S13" s="3">
        <f>O13-Q13-R13</f>
      </c>
      <c r="T13" s="7">
        <v>400000.0</v>
      </c>
      <c r="U13" s="3">
        <f>S13-400000.0</f>
      </c>
    </row>
    <row r="14">
      <c r="A14" s="5">
        <v>2</v>
      </c>
      <c r="B14" s="6">
        <v>85</v>
      </c>
      <c r="C14" s="6">
        <v>58</v>
      </c>
      <c r="D14" s="6">
        <v>55</v>
      </c>
      <c r="E14" s="6">
        <v>14</v>
      </c>
      <c r="F14" s="7">
        <v>928.0</v>
      </c>
      <c r="G14" s="7">
        <v>200</v>
      </c>
      <c r="H14" s="7">
        <v>1.05</v>
      </c>
      <c r="I14" s="3">
        <f>C14*F14*12</f>
      </c>
      <c r="J14" s="3">
        <f>D14*4500*1.0</f>
      </c>
      <c r="K14" s="3">
        <f>C14*G14*12*1.0*H14</f>
      </c>
      <c r="L14" s="3">
        <f>I14+J14+K14</f>
      </c>
      <c r="M14" s="3">
        <f>(I14+J14)*0.13*1.0</f>
      </c>
      <c r="N14" s="3">
        <f>C14*G14*12*1.0*0.62*1.0</f>
      </c>
      <c r="O14" s="3">
        <f>L14-M14-N14</f>
      </c>
      <c r="P14" s="6">
        <v>7</v>
      </c>
      <c r="Q14" s="3">
        <f>P14*98000*1.0</f>
      </c>
      <c r="R14" s="7">
        <v>220000.0</v>
      </c>
      <c r="S14" s="3">
        <f>O14-Q14-R14</f>
      </c>
      <c r="T14" s="7">
        <v>0</v>
      </c>
      <c r="U14" s="3">
        <f>U13+S14</f>
      </c>
    </row>
    <row r="15">
      <c r="A15" s="5">
        <v>3</v>
      </c>
      <c r="B15" s="6">
        <v>170</v>
      </c>
      <c r="C15" s="6">
        <v>128</v>
      </c>
      <c r="D15" s="6">
        <v>85</v>
      </c>
      <c r="E15" s="6">
        <v>16</v>
      </c>
      <c r="F15" s="7">
        <v>1100.0</v>
      </c>
      <c r="G15" s="7">
        <v>260</v>
      </c>
      <c r="H15" s="7">
        <v>1.0</v>
      </c>
      <c r="I15" s="3">
        <f>C15*F15*12</f>
      </c>
      <c r="J15" s="3">
        <f>D15*5000*1.0</f>
      </c>
      <c r="K15" s="3">
        <f>C15*G15*12*1.0*H15</f>
      </c>
      <c r="L15" s="3">
        <f>I15+J15+K15</f>
      </c>
      <c r="M15" s="3">
        <f>(I15+J15)*0.14*1.0</f>
      </c>
      <c r="N15" s="3">
        <f>C15*G15*12*1.0*0.6*1.0</f>
      </c>
      <c r="O15" s="3">
        <f>L15-M15-N15</f>
      </c>
      <c r="P15" s="6">
        <v>11</v>
      </c>
      <c r="Q15" s="3">
        <f>P15*100000*1.0</f>
      </c>
      <c r="R15" s="7">
        <v>350000.0</v>
      </c>
      <c r="S15" s="3">
        <f>O15-Q15-R15</f>
      </c>
      <c r="T15" s="7">
        <v>0</v>
      </c>
      <c r="U15" s="3">
        <f>U14+S15</f>
      </c>
    </row>
    <row r="16">
      <c r="A16" s="5">
        <v>4</v>
      </c>
      <c r="B16" s="6">
        <v>280</v>
      </c>
      <c r="C16" s="6">
        <v>225</v>
      </c>
      <c r="D16" s="6">
        <v>110</v>
      </c>
      <c r="E16" s="6">
        <v>18</v>
      </c>
      <c r="F16" s="7">
        <v>1256.0</v>
      </c>
      <c r="G16" s="7">
        <v>330</v>
      </c>
      <c r="H16" s="7">
        <v>0.95</v>
      </c>
      <c r="I16" s="3">
        <f>C16*F16*12</f>
      </c>
      <c r="J16" s="3">
        <f>D16*5500*1.0</f>
      </c>
      <c r="K16" s="3">
        <f>C16*G16*12*1.0*H16</f>
      </c>
      <c r="L16" s="3">
        <f>I16+J16+K16</f>
      </c>
      <c r="M16" s="3">
        <f>(I16+J16)*0.145*1.0</f>
      </c>
      <c r="N16" s="3">
        <f>C16*G16*12*1.0*0.57*1.0</f>
      </c>
      <c r="O16" s="3">
        <f>L16-M16-N16</f>
      </c>
      <c r="P16" s="6">
        <v>17</v>
      </c>
      <c r="Q16" s="3">
        <f>P16*102000*1.0</f>
      </c>
      <c r="R16" s="7">
        <v>520000.0</v>
      </c>
      <c r="S16" s="3">
        <f>O16-Q16-R16</f>
      </c>
      <c r="T16" s="7">
        <v>0</v>
      </c>
      <c r="U16" s="3">
        <f>U15+S16</f>
      </c>
    </row>
    <row r="17">
      <c r="A17" s="5">
        <v>5</v>
      </c>
      <c r="B17" s="6">
        <v>430</v>
      </c>
      <c r="C17" s="6">
        <v>355</v>
      </c>
      <c r="D17" s="6">
        <v>150</v>
      </c>
      <c r="E17" s="6">
        <v>20</v>
      </c>
      <c r="F17" s="7">
        <v>1450.0</v>
      </c>
      <c r="G17" s="7">
        <v>400</v>
      </c>
      <c r="H17" s="7">
        <v>0.9</v>
      </c>
      <c r="I17" s="3">
        <f>C17*F17*12</f>
      </c>
      <c r="J17" s="3">
        <f>D17*6000*1.0</f>
      </c>
      <c r="K17" s="3">
        <f>C17*G17*12*1.0*H17</f>
      </c>
      <c r="L17" s="3">
        <f>I17+J17+K17</f>
      </c>
      <c r="M17" s="3">
        <f>(I17+J17)*0.15*1.0</f>
      </c>
      <c r="N17" s="3">
        <f>C17*G17*12*1.0*0.55*1.0</f>
      </c>
      <c r="O17" s="3">
        <f>L17-M17-N17</f>
      </c>
      <c r="P17" s="6">
        <v>25</v>
      </c>
      <c r="Q17" s="3">
        <f>P17*105000*1.0</f>
      </c>
      <c r="R17" s="7">
        <v>800000.0</v>
      </c>
      <c r="S17" s="3">
        <f>O17-Q17-R17</f>
      </c>
      <c r="T17" s="7">
        <v>0</v>
      </c>
      <c r="U17" s="3">
        <f>U16+S17</f>
      </c>
    </row>
    <row r="19">
      <c r="A19" s="1" t="inlineStr">
        <is>
          <t>Vahva skenaario</t>
        </is>
      </c>
    </row>
    <row r="20" ht="42" customHeight="1">
      <c r="A20" s="2" t="inlineStr">
        <is>
          <t>Vuosi</t>
        </is>
      </c>
      <c r="B20" s="2" t="inlineStr">
        <is>
          <t>Asiakkaat vuoden lopussa</t>
        </is>
      </c>
      <c r="C20" s="2" t="inlineStr">
        <is>
          <t>Keskimääräiset asiakkaat</t>
        </is>
      </c>
      <c r="D20" s="2" t="inlineStr">
        <is>
          <t>Uudet asiakkaat</t>
        </is>
      </c>
      <c r="E20" s="2" t="inlineStr">
        <is>
          <t>Käyttäjät / asiakas</t>
        </is>
      </c>
      <c r="F20" s="2" t="inlineStr">
        <is>
          <t>Jatkuva palvelu / asiakas / kk</t>
        </is>
      </c>
      <c r="G20" s="2" t="inlineStr">
        <is>
          <t>Tokenit miljoonaa / asiakas / kk</t>
        </is>
      </c>
      <c r="H20" s="2" t="inlineStr">
        <is>
          <t>Tokenhinta / miljoona</t>
        </is>
      </c>
      <c r="I20" s="2" t="inlineStr">
        <is>
          <t>Jatkuvan palvelun liikevaihto</t>
        </is>
      </c>
      <c r="J20" s="2" t="inlineStr">
        <is>
          <t>Käyttöönotot</t>
        </is>
      </c>
      <c r="K20" s="2" t="inlineStr">
        <is>
          <t>Tokenliikevaihto</t>
        </is>
      </c>
      <c r="L20" s="2" t="inlineStr">
        <is>
          <t>Liikevaihto</t>
        </is>
      </c>
      <c r="M20" s="2" t="inlineStr">
        <is>
          <t>Suorat palvelukulut</t>
        </is>
      </c>
      <c r="N20" s="2" t="inlineStr">
        <is>
          <t>Tokenien tukkukustannus</t>
        </is>
      </c>
      <c r="O20" s="2" t="inlineStr">
        <is>
          <t>Myyntikate</t>
        </is>
      </c>
      <c r="P20" s="2" t="inlineStr">
        <is>
          <t>Henkilöstö</t>
        </is>
      </c>
      <c r="Q20" s="2" t="inlineStr">
        <is>
          <t>Henkilökustannus</t>
        </is>
      </c>
      <c r="R20" s="2" t="inlineStr">
        <is>
          <t>Kiinteät kulut</t>
        </is>
      </c>
      <c r="S20" s="2" t="inlineStr">
        <is>
          <t>Käyttökate</t>
        </is>
      </c>
      <c r="T20" s="2" t="inlineStr">
        <is>
          <t>Alkuinvestointi</t>
        </is>
      </c>
      <c r="U20" s="2" t="inlineStr">
        <is>
          <t>Kumulatiivinen kassa</t>
        </is>
      </c>
    </row>
    <row r="21">
      <c r="A21" s="5">
        <v>1</v>
      </c>
      <c r="B21" s="6">
        <v>38</v>
      </c>
      <c r="C21" s="6">
        <v>19</v>
      </c>
      <c r="D21" s="6">
        <v>38</v>
      </c>
      <c r="E21" s="6">
        <v>12</v>
      </c>
      <c r="F21" s="7">
        <v>840.0</v>
      </c>
      <c r="G21" s="7">
        <v>150</v>
      </c>
      <c r="H21" s="7">
        <v>1.1550000000000002</v>
      </c>
      <c r="I21" s="3">
        <f>C21*F21*12</f>
      </c>
      <c r="J21" s="3">
        <f>D21*4000*1.05</f>
      </c>
      <c r="K21" s="3">
        <f>C21*G21*12*1.25*H21</f>
      </c>
      <c r="L21" s="3">
        <f>I21+J21+K21</f>
      </c>
      <c r="M21" s="3">
        <f>(I21+J21)*0.12*0.92</f>
      </c>
      <c r="N21" s="3">
        <f>C21*G21*12*1.25*0.65*0.92</f>
      </c>
      <c r="O21" s="3">
        <f>L21-M21-N21</f>
      </c>
      <c r="P21" s="6">
        <v>4</v>
      </c>
      <c r="Q21" s="3">
        <f>P21*95000*1.08</f>
      </c>
      <c r="R21" s="7">
        <v>140400.0</v>
      </c>
      <c r="S21" s="3">
        <f>O21-Q21-R21</f>
      </c>
      <c r="T21" s="7">
        <v>380000.0</v>
      </c>
      <c r="U21" s="3">
        <f>S21-380000.0</f>
      </c>
    </row>
    <row r="22">
      <c r="A22" s="5">
        <v>2</v>
      </c>
      <c r="B22" s="6">
        <v>106</v>
      </c>
      <c r="C22" s="6">
        <v>72</v>
      </c>
      <c r="D22" s="6">
        <v>69</v>
      </c>
      <c r="E22" s="6">
        <v>14</v>
      </c>
      <c r="F22" s="7">
        <v>974.4000000000001</v>
      </c>
      <c r="G22" s="7">
        <v>200</v>
      </c>
      <c r="H22" s="7">
        <v>1.1025</v>
      </c>
      <c r="I22" s="3">
        <f>C22*F22*12</f>
      </c>
      <c r="J22" s="3">
        <f>D22*4500*1.05</f>
      </c>
      <c r="K22" s="3">
        <f>C22*G22*12*1.25*H22</f>
      </c>
      <c r="L22" s="3">
        <f>I22+J22+K22</f>
      </c>
      <c r="M22" s="3">
        <f>(I22+J22)*0.13*0.92</f>
      </c>
      <c r="N22" s="3">
        <f>C22*G22*12*1.25*0.62*0.92</f>
      </c>
      <c r="O22" s="3">
        <f>L22-M22-N22</f>
      </c>
      <c r="P22" s="6">
        <v>7</v>
      </c>
      <c r="Q22" s="3">
        <f>P22*98000*1.08</f>
      </c>
      <c r="R22" s="7">
        <v>237600.00000000003</v>
      </c>
      <c r="S22" s="3">
        <f>O22-Q22-R22</f>
      </c>
      <c r="T22" s="7">
        <v>0</v>
      </c>
      <c r="U22" s="3">
        <f>U21+S22</f>
      </c>
    </row>
    <row r="23">
      <c r="A23" s="5">
        <v>3</v>
      </c>
      <c r="B23" s="6">
        <v>212</v>
      </c>
      <c r="C23" s="6">
        <v>160</v>
      </c>
      <c r="D23" s="6">
        <v>106</v>
      </c>
      <c r="E23" s="6">
        <v>16</v>
      </c>
      <c r="F23" s="7">
        <v>1155.0</v>
      </c>
      <c r="G23" s="7">
        <v>260</v>
      </c>
      <c r="H23" s="7">
        <v>1.05</v>
      </c>
      <c r="I23" s="3">
        <f>C23*F23*12</f>
      </c>
      <c r="J23" s="3">
        <f>D23*5000*1.05</f>
      </c>
      <c r="K23" s="3">
        <f>C23*G23*12*1.25*H23</f>
      </c>
      <c r="L23" s="3">
        <f>I23+J23+K23</f>
      </c>
      <c r="M23" s="3">
        <f>(I23+J23)*0.14*0.92</f>
      </c>
      <c r="N23" s="3">
        <f>C23*G23*12*1.25*0.6*0.92</f>
      </c>
      <c r="O23" s="3">
        <f>L23-M23-N23</f>
      </c>
      <c r="P23" s="6">
        <v>11</v>
      </c>
      <c r="Q23" s="3">
        <f>P23*100000*1.08</f>
      </c>
      <c r="R23" s="7">
        <v>378000.0</v>
      </c>
      <c r="S23" s="3">
        <f>O23-Q23-R23</f>
      </c>
      <c r="T23" s="7">
        <v>0</v>
      </c>
      <c r="U23" s="3">
        <f>U22+S23</f>
      </c>
    </row>
    <row r="24">
      <c r="A24" s="5">
        <v>4</v>
      </c>
      <c r="B24" s="6">
        <v>350</v>
      </c>
      <c r="C24" s="6">
        <v>281</v>
      </c>
      <c r="D24" s="6">
        <v>138</v>
      </c>
      <c r="E24" s="6">
        <v>18</v>
      </c>
      <c r="F24" s="7">
        <v>1318.8</v>
      </c>
      <c r="G24" s="7">
        <v>330</v>
      </c>
      <c r="H24" s="7">
        <v>0.9974999999999999</v>
      </c>
      <c r="I24" s="3">
        <f>C24*F24*12</f>
      </c>
      <c r="J24" s="3">
        <f>D24*5500*1.05</f>
      </c>
      <c r="K24" s="3">
        <f>C24*G24*12*1.25*H24</f>
      </c>
      <c r="L24" s="3">
        <f>I24+J24+K24</f>
      </c>
      <c r="M24" s="3">
        <f>(I24+J24)*0.145*0.92</f>
      </c>
      <c r="N24" s="3">
        <f>C24*G24*12*1.25*0.57*0.92</f>
      </c>
      <c r="O24" s="3">
        <f>L24-M24-N24</f>
      </c>
      <c r="P24" s="6">
        <v>17</v>
      </c>
      <c r="Q24" s="3">
        <f>P24*102000*1.08</f>
      </c>
      <c r="R24" s="7">
        <v>561600.0</v>
      </c>
      <c r="S24" s="3">
        <f>O24-Q24-R24</f>
      </c>
      <c r="T24" s="7">
        <v>0</v>
      </c>
      <c r="U24" s="3">
        <f>U23+S24</f>
      </c>
    </row>
    <row r="25">
      <c r="A25" s="5">
        <v>5</v>
      </c>
      <c r="B25" s="6">
        <v>538</v>
      </c>
      <c r="C25" s="6">
        <v>444</v>
      </c>
      <c r="D25" s="6">
        <v>188</v>
      </c>
      <c r="E25" s="6">
        <v>20</v>
      </c>
      <c r="F25" s="7">
        <v>1522.5</v>
      </c>
      <c r="G25" s="7">
        <v>400</v>
      </c>
      <c r="H25" s="7">
        <v>0.9450000000000001</v>
      </c>
      <c r="I25" s="3">
        <f>C25*F25*12</f>
      </c>
      <c r="J25" s="3">
        <f>D25*6000*1.05</f>
      </c>
      <c r="K25" s="3">
        <f>C25*G25*12*1.25*H25</f>
      </c>
      <c r="L25" s="3">
        <f>I25+J25+K25</f>
      </c>
      <c r="M25" s="3">
        <f>(I25+J25)*0.15*0.92</f>
      </c>
      <c r="N25" s="3">
        <f>C25*G25*12*1.25*0.55*0.92</f>
      </c>
      <c r="O25" s="3">
        <f>L25-M25-N25</f>
      </c>
      <c r="P25" s="6">
        <v>25</v>
      </c>
      <c r="Q25" s="3">
        <f>P25*105000*1.08</f>
      </c>
      <c r="R25" s="7">
        <v>864000.0</v>
      </c>
      <c r="S25" s="3">
        <f>O25-Q25-R25</f>
      </c>
      <c r="T25" s="7">
        <v>0</v>
      </c>
      <c r="U25" s="3">
        <f>U24+S25</f>
      </c>
    </row>
  </sheetData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1" topLeftCell="A5" activePane="bottomLeft" state="frozen"/>
    </sheetView>
  </sheetViews>
  <cols>
    <col min="1" max="1" width="8" customWidth="1"/>
    <col min="2" max="2" width="18" customWidth="1"/>
    <col min="3" max="3" width="18" customWidth="1"/>
    <col min="4" max="4" width="14" customWidth="1"/>
    <col min="5" max="5" width="14" customWidth="1"/>
    <col min="6" max="6" width="20" customWidth="1"/>
    <col min="7" max="7" width="20" customWidth="1"/>
    <col min="8" max="8" width="18" customWidth="1"/>
    <col min="9" max="9" width="20" customWidth="1"/>
    <col min="10" max="10" width="18" customWidth="1"/>
    <col min="11" max="11" width="18" customWidth="1"/>
    <col min="12" max="12" width="18" customWidth="1"/>
    <col min="13" max="13" width="18" customWidth="1"/>
    <col min="14" max="14" width="20" customWidth="1"/>
    <col min="15" max="15" width="18" customWidth="1"/>
    <col min="16" max="16" width="12" customWidth="1"/>
    <col min="17" max="17" width="18" customWidth="1"/>
    <col min="18" max="18" width="16" customWidth="1"/>
    <col min="19" max="19" width="18" customWidth="1"/>
    <col min="20" max="20" width="18" customWidth="1"/>
    <col min="21" max="21" width="22" customWidth="1"/>
  </cols>
  <sheetData>
    <row r="1">
      <c r="A1" s="1" t="inlineStr">
        <is>
          <t>Valtakunnallinen yhdistelmäoperaattori</t>
        </is>
      </c>
    </row>
    <row r="3">
      <c r="A3" s="1" t="inlineStr">
        <is>
          <t>Heikko skenaario</t>
        </is>
      </c>
    </row>
    <row r="4" ht="42" customHeight="1">
      <c r="A4" s="2" t="inlineStr">
        <is>
          <t>Vuosi</t>
        </is>
      </c>
      <c r="B4" s="2" t="inlineStr">
        <is>
          <t>Asiakkaat vuoden lopussa</t>
        </is>
      </c>
      <c r="C4" s="2" t="inlineStr">
        <is>
          <t>Keskimääräiset asiakkaat</t>
        </is>
      </c>
      <c r="D4" s="2" t="inlineStr">
        <is>
          <t>Uudet asiakkaat</t>
        </is>
      </c>
      <c r="E4" s="2" t="inlineStr">
        <is>
          <t>Käyttäjät / asiakas</t>
        </is>
      </c>
      <c r="F4" s="2" t="inlineStr">
        <is>
          <t>Jatkuva palvelu / asiakas / kk</t>
        </is>
      </c>
      <c r="G4" s="2" t="inlineStr">
        <is>
          <t>Tokenit miljoonaa / asiakas / kk</t>
        </is>
      </c>
      <c r="H4" s="2" t="inlineStr">
        <is>
          <t>Tokenhinta / miljoona</t>
        </is>
      </c>
      <c r="I4" s="2" t="inlineStr">
        <is>
          <t>Jatkuvan palvelun liikevaihto</t>
        </is>
      </c>
      <c r="J4" s="2" t="inlineStr">
        <is>
          <t>Käyttöönotot</t>
        </is>
      </c>
      <c r="K4" s="2" t="inlineStr">
        <is>
          <t>Tokenliikevaihto</t>
        </is>
      </c>
      <c r="L4" s="2" t="inlineStr">
        <is>
          <t>Liikevaihto</t>
        </is>
      </c>
      <c r="M4" s="2" t="inlineStr">
        <is>
          <t>Suorat palvelukulut</t>
        </is>
      </c>
      <c r="N4" s="2" t="inlineStr">
        <is>
          <t>Tokenien tukkukustannus</t>
        </is>
      </c>
      <c r="O4" s="2" t="inlineStr">
        <is>
          <t>Myyntikate</t>
        </is>
      </c>
      <c r="P4" s="2" t="inlineStr">
        <is>
          <t>Henkilöstö</t>
        </is>
      </c>
      <c r="Q4" s="2" t="inlineStr">
        <is>
          <t>Henkilökustannus</t>
        </is>
      </c>
      <c r="R4" s="2" t="inlineStr">
        <is>
          <t>Kiinteät kulut</t>
        </is>
      </c>
      <c r="S4" s="2" t="inlineStr">
        <is>
          <t>Käyttökate</t>
        </is>
      </c>
      <c r="T4" s="2" t="inlineStr">
        <is>
          <t>Alkuinvestointi</t>
        </is>
      </c>
      <c r="U4" s="2" t="inlineStr">
        <is>
          <t>Kumulatiivinen kassa</t>
        </is>
      </c>
    </row>
    <row r="5">
      <c r="A5" s="5">
        <v>1</v>
      </c>
      <c r="B5" s="6">
        <v>126</v>
      </c>
      <c r="C5" s="6">
        <v>63</v>
      </c>
      <c r="D5" s="6">
        <v>126</v>
      </c>
      <c r="E5" s="6">
        <v>20</v>
      </c>
      <c r="F5" s="7">
        <v>1089.0</v>
      </c>
      <c r="G5" s="7">
        <v>220</v>
      </c>
      <c r="H5" s="7">
        <v>0.9</v>
      </c>
      <c r="I5" s="3">
        <f>C5*F5*12</f>
      </c>
      <c r="J5" s="3">
        <f>D5*5000*0.9</f>
      </c>
      <c r="K5" s="3">
        <f>C5*G5*12*0.7*H5</f>
      </c>
      <c r="L5" s="3">
        <f>I5+J5+K5</f>
      </c>
      <c r="M5" s="3">
        <f>(I5+J5)*0.13*1.12</f>
      </c>
      <c r="N5" s="3">
        <f>C5*G5*12*0.7*0.58*1.12</f>
      </c>
      <c r="O5" s="3">
        <f>L5-M5-N5</f>
      </c>
      <c r="P5" s="6">
        <v>25</v>
      </c>
      <c r="Q5" s="3">
        <f>P5*108000*1.05</f>
      </c>
      <c r="R5" s="7">
        <v>1540000.0000000002</v>
      </c>
      <c r="S5" s="3">
        <f>O5-Q5-R5</f>
      </c>
      <c r="T5" s="7">
        <v>4950000.0</v>
      </c>
      <c r="U5" s="3">
        <f>S5-4950000.0</f>
      </c>
    </row>
    <row r="6">
      <c r="A6" s="5">
        <v>2</v>
      </c>
      <c r="B6" s="6">
        <v>364</v>
      </c>
      <c r="C6" s="6">
        <v>245</v>
      </c>
      <c r="D6" s="6">
        <v>238</v>
      </c>
      <c r="E6" s="6">
        <v>22</v>
      </c>
      <c r="F6" s="7">
        <v>1224.0</v>
      </c>
      <c r="G6" s="7">
        <v>280</v>
      </c>
      <c r="H6" s="7">
        <v>0.855</v>
      </c>
      <c r="I6" s="3">
        <f>C6*F6*12</f>
      </c>
      <c r="J6" s="3">
        <f>D6*5500*0.9</f>
      </c>
      <c r="K6" s="3">
        <f>C6*G6*12*0.7*H6</f>
      </c>
      <c r="L6" s="3">
        <f>I6+J6+K6</f>
      </c>
      <c r="M6" s="3">
        <f>(I6+J6)*0.14*1.12</f>
      </c>
      <c r="N6" s="3">
        <f>C6*G6*12*0.7*0.55*1.12</f>
      </c>
      <c r="O6" s="3">
        <f>L6-M6-N6</f>
      </c>
      <c r="P6" s="6">
        <v>42</v>
      </c>
      <c r="Q6" s="3">
        <f>P6*111000*1.05</f>
      </c>
      <c r="R6" s="7">
        <v>2640000.0</v>
      </c>
      <c r="S6" s="3">
        <f>O6-Q6-R6</f>
      </c>
      <c r="T6" s="7">
        <v>0</v>
      </c>
      <c r="U6" s="3">
        <f>U5+S6</f>
      </c>
    </row>
    <row r="7">
      <c r="A7" s="5">
        <v>3</v>
      </c>
      <c r="B7" s="6">
        <v>735</v>
      </c>
      <c r="C7" s="6">
        <v>550</v>
      </c>
      <c r="D7" s="6">
        <v>371</v>
      </c>
      <c r="E7" s="6">
        <v>25</v>
      </c>
      <c r="F7" s="7">
        <v>1444.5</v>
      </c>
      <c r="G7" s="7">
        <v>350</v>
      </c>
      <c r="H7" s="7">
        <v>0.81</v>
      </c>
      <c r="I7" s="3">
        <f>C7*F7*12</f>
      </c>
      <c r="J7" s="3">
        <f>D7*6000*0.9</f>
      </c>
      <c r="K7" s="3">
        <f>C7*G7*12*0.7*H7</f>
      </c>
      <c r="L7" s="3">
        <f>I7+J7+K7</f>
      </c>
      <c r="M7" s="3">
        <f>(I7+J7)*0.145*1.12</f>
      </c>
      <c r="N7" s="3">
        <f>C7*G7*12*0.7*0.52*1.12</f>
      </c>
      <c r="O7" s="3">
        <f>L7-M7-N7</f>
      </c>
      <c r="P7" s="6">
        <v>68</v>
      </c>
      <c r="Q7" s="3">
        <f>P7*114000*1.05</f>
      </c>
      <c r="R7" s="7">
        <v>4400000.0</v>
      </c>
      <c r="S7" s="3">
        <f>O7-Q7-R7</f>
      </c>
      <c r="T7" s="7">
        <v>0</v>
      </c>
      <c r="U7" s="3">
        <f>U6+S7</f>
      </c>
    </row>
    <row r="8">
      <c r="A8" s="5">
        <v>4</v>
      </c>
      <c r="B8" s="6">
        <v>1225</v>
      </c>
      <c r="C8" s="6">
        <v>980</v>
      </c>
      <c r="D8" s="6">
        <v>490</v>
      </c>
      <c r="E8" s="6">
        <v>28</v>
      </c>
      <c r="F8" s="7">
        <v>1672.2</v>
      </c>
      <c r="G8" s="7">
        <v>430</v>
      </c>
      <c r="H8" s="7">
        <v>0.765</v>
      </c>
      <c r="I8" s="3">
        <f>C8*F8*12</f>
      </c>
      <c r="J8" s="3">
        <f>D8*6500*0.9</f>
      </c>
      <c r="K8" s="3">
        <f>C8*G8*12*0.7*H8</f>
      </c>
      <c r="L8" s="3">
        <f>I8+J8+K8</f>
      </c>
      <c r="M8" s="3">
        <f>(I8+J8)*0.15*1.12</f>
      </c>
      <c r="N8" s="3">
        <f>C8*G8*12*0.7*0.49*1.12</f>
      </c>
      <c r="O8" s="3">
        <f>L8-M8-N8</f>
      </c>
      <c r="P8" s="6">
        <v>105</v>
      </c>
      <c r="Q8" s="3">
        <f>P8*117000*1.05</f>
      </c>
      <c r="R8" s="7">
        <v>7150000.000000001</v>
      </c>
      <c r="S8" s="3">
        <f>O8-Q8-R8</f>
      </c>
      <c r="T8" s="7">
        <v>0</v>
      </c>
      <c r="U8" s="3">
        <f>U7+S8</f>
      </c>
    </row>
    <row r="9">
      <c r="A9" s="5">
        <v>5</v>
      </c>
      <c r="B9" s="6">
        <v>1820</v>
      </c>
      <c r="C9" s="6">
        <v>1522</v>
      </c>
      <c r="D9" s="6">
        <v>595</v>
      </c>
      <c r="E9" s="6">
        <v>32</v>
      </c>
      <c r="F9" s="7">
        <v>1951.2</v>
      </c>
      <c r="G9" s="7">
        <v>520</v>
      </c>
      <c r="H9" s="7">
        <v>0.7200000000000001</v>
      </c>
      <c r="I9" s="3">
        <f>C9*F9*12</f>
      </c>
      <c r="J9" s="3">
        <f>D9*7000*0.9</f>
      </c>
      <c r="K9" s="3">
        <f>C9*G9*12*0.7*H9</f>
      </c>
      <c r="L9" s="3">
        <f>I9+J9+K9</f>
      </c>
      <c r="M9" s="3">
        <f>(I9+J9)*0.155*1.12</f>
      </c>
      <c r="N9" s="3">
        <f>C9*G9*12*0.7*0.46*1.12</f>
      </c>
      <c r="O9" s="3">
        <f>L9-M9-N9</f>
      </c>
      <c r="P9" s="6">
        <v>150</v>
      </c>
      <c r="Q9" s="3">
        <f>P9*120000*1.05</f>
      </c>
      <c r="R9" s="7">
        <v>10450000.0</v>
      </c>
      <c r="S9" s="3">
        <f>O9-Q9-R9</f>
      </c>
      <c r="T9" s="7">
        <v>0</v>
      </c>
      <c r="U9" s="3">
        <f>U8+S9</f>
      </c>
    </row>
    <row r="11">
      <c r="A11" s="1" t="inlineStr">
        <is>
          <t>Perus skenaario</t>
        </is>
      </c>
    </row>
    <row r="12" ht="42" customHeight="1">
      <c r="A12" s="2" t="inlineStr">
        <is>
          <t>Vuosi</t>
        </is>
      </c>
      <c r="B12" s="2" t="inlineStr">
        <is>
          <t>Asiakkaat vuoden lopussa</t>
        </is>
      </c>
      <c r="C12" s="2" t="inlineStr">
        <is>
          <t>Keskimääräiset asiakkaat</t>
        </is>
      </c>
      <c r="D12" s="2" t="inlineStr">
        <is>
          <t>Uudet asiakkaat</t>
        </is>
      </c>
      <c r="E12" s="2" t="inlineStr">
        <is>
          <t>Käyttäjät / asiakas</t>
        </is>
      </c>
      <c r="F12" s="2" t="inlineStr">
        <is>
          <t>Jatkuva palvelu / asiakas / kk</t>
        </is>
      </c>
      <c r="G12" s="2" t="inlineStr">
        <is>
          <t>Tokenit miljoonaa / asiakas / kk</t>
        </is>
      </c>
      <c r="H12" s="2" t="inlineStr">
        <is>
          <t>Tokenhinta / miljoona</t>
        </is>
      </c>
      <c r="I12" s="2" t="inlineStr">
        <is>
          <t>Jatkuvan palvelun liikevaihto</t>
        </is>
      </c>
      <c r="J12" s="2" t="inlineStr">
        <is>
          <t>Käyttöönotot</t>
        </is>
      </c>
      <c r="K12" s="2" t="inlineStr">
        <is>
          <t>Tokenliikevaihto</t>
        </is>
      </c>
      <c r="L12" s="2" t="inlineStr">
        <is>
          <t>Liikevaihto</t>
        </is>
      </c>
      <c r="M12" s="2" t="inlineStr">
        <is>
          <t>Suorat palvelukulut</t>
        </is>
      </c>
      <c r="N12" s="2" t="inlineStr">
        <is>
          <t>Tokenien tukkukustannus</t>
        </is>
      </c>
      <c r="O12" s="2" t="inlineStr">
        <is>
          <t>Myyntikate</t>
        </is>
      </c>
      <c r="P12" s="2" t="inlineStr">
        <is>
          <t>Henkilöstö</t>
        </is>
      </c>
      <c r="Q12" s="2" t="inlineStr">
        <is>
          <t>Henkilökustannus</t>
        </is>
      </c>
      <c r="R12" s="2" t="inlineStr">
        <is>
          <t>Kiinteät kulut</t>
        </is>
      </c>
      <c r="S12" s="2" t="inlineStr">
        <is>
          <t>Käyttökate</t>
        </is>
      </c>
      <c r="T12" s="2" t="inlineStr">
        <is>
          <t>Alkuinvestointi</t>
        </is>
      </c>
      <c r="U12" s="2" t="inlineStr">
        <is>
          <t>Kumulatiivinen kassa</t>
        </is>
      </c>
    </row>
    <row r="13">
      <c r="A13" s="5">
        <v>1</v>
      </c>
      <c r="B13" s="6">
        <v>180</v>
      </c>
      <c r="C13" s="6">
        <v>90</v>
      </c>
      <c r="D13" s="6">
        <v>180</v>
      </c>
      <c r="E13" s="6">
        <v>20</v>
      </c>
      <c r="F13" s="7">
        <v>1210.0</v>
      </c>
      <c r="G13" s="7">
        <v>220</v>
      </c>
      <c r="H13" s="7">
        <v>1.0</v>
      </c>
      <c r="I13" s="3">
        <f>C13*F13*12</f>
      </c>
      <c r="J13" s="3">
        <f>D13*5000*1.0</f>
      </c>
      <c r="K13" s="3">
        <f>C13*G13*12*1.0*H13</f>
      </c>
      <c r="L13" s="3">
        <f>I13+J13+K13</f>
      </c>
      <c r="M13" s="3">
        <f>(I13+J13)*0.13*1.0</f>
      </c>
      <c r="N13" s="3">
        <f>C13*G13*12*1.0*0.58*1.0</f>
      </c>
      <c r="O13" s="3">
        <f>L13-M13-N13</f>
      </c>
      <c r="P13" s="6">
        <v>25</v>
      </c>
      <c r="Q13" s="3">
        <f>P13*108000*1.0</f>
      </c>
      <c r="R13" s="7">
        <v>1400000.0</v>
      </c>
      <c r="S13" s="3">
        <f>O13-Q13-R13</f>
      </c>
      <c r="T13" s="7">
        <v>4500000.0</v>
      </c>
      <c r="U13" s="3">
        <f>S13-4500000.0</f>
      </c>
    </row>
    <row r="14">
      <c r="A14" s="5">
        <v>2</v>
      </c>
      <c r="B14" s="6">
        <v>520</v>
      </c>
      <c r="C14" s="6">
        <v>350</v>
      </c>
      <c r="D14" s="6">
        <v>340</v>
      </c>
      <c r="E14" s="6">
        <v>22</v>
      </c>
      <c r="F14" s="7">
        <v>1360.0</v>
      </c>
      <c r="G14" s="7">
        <v>280</v>
      </c>
      <c r="H14" s="7">
        <v>0.95</v>
      </c>
      <c r="I14" s="3">
        <f>C14*F14*12</f>
      </c>
      <c r="J14" s="3">
        <f>D14*5500*1.0</f>
      </c>
      <c r="K14" s="3">
        <f>C14*G14*12*1.0*H14</f>
      </c>
      <c r="L14" s="3">
        <f>I14+J14+K14</f>
      </c>
      <c r="M14" s="3">
        <f>(I14+J14)*0.14*1.0</f>
      </c>
      <c r="N14" s="3">
        <f>C14*G14*12*1.0*0.55*1.0</f>
      </c>
      <c r="O14" s="3">
        <f>L14-M14-N14</f>
      </c>
      <c r="P14" s="6">
        <v>42</v>
      </c>
      <c r="Q14" s="3">
        <f>P14*111000*1.0</f>
      </c>
      <c r="R14" s="7">
        <v>2400000.0</v>
      </c>
      <c r="S14" s="3">
        <f>O14-Q14-R14</f>
      </c>
      <c r="T14" s="7">
        <v>0</v>
      </c>
      <c r="U14" s="3">
        <f>U13+S14</f>
      </c>
    </row>
    <row r="15">
      <c r="A15" s="5">
        <v>3</v>
      </c>
      <c r="B15" s="6">
        <v>1050</v>
      </c>
      <c r="C15" s="6">
        <v>785</v>
      </c>
      <c r="D15" s="6">
        <v>530</v>
      </c>
      <c r="E15" s="6">
        <v>25</v>
      </c>
      <c r="F15" s="7">
        <v>1605.0</v>
      </c>
      <c r="G15" s="7">
        <v>350</v>
      </c>
      <c r="H15" s="7">
        <v>0.9</v>
      </c>
      <c r="I15" s="3">
        <f>C15*F15*12</f>
      </c>
      <c r="J15" s="3">
        <f>D15*6000*1.0</f>
      </c>
      <c r="K15" s="3">
        <f>C15*G15*12*1.0*H15</f>
      </c>
      <c r="L15" s="3">
        <f>I15+J15+K15</f>
      </c>
      <c r="M15" s="3">
        <f>(I15+J15)*0.145*1.0</f>
      </c>
      <c r="N15" s="3">
        <f>C15*G15*12*1.0*0.52*1.0</f>
      </c>
      <c r="O15" s="3">
        <f>L15-M15-N15</f>
      </c>
      <c r="P15" s="6">
        <v>68</v>
      </c>
      <c r="Q15" s="3">
        <f>P15*114000*1.0</f>
      </c>
      <c r="R15" s="7">
        <v>4000000.0</v>
      </c>
      <c r="S15" s="3">
        <f>O15-Q15-R15</f>
      </c>
      <c r="T15" s="7">
        <v>0</v>
      </c>
      <c r="U15" s="3">
        <f>U14+S15</f>
      </c>
    </row>
    <row r="16">
      <c r="A16" s="5">
        <v>4</v>
      </c>
      <c r="B16" s="6">
        <v>1750</v>
      </c>
      <c r="C16" s="6">
        <v>1400</v>
      </c>
      <c r="D16" s="6">
        <v>700</v>
      </c>
      <c r="E16" s="6">
        <v>28</v>
      </c>
      <c r="F16" s="7">
        <v>1858.0</v>
      </c>
      <c r="G16" s="7">
        <v>430</v>
      </c>
      <c r="H16" s="7">
        <v>0.85</v>
      </c>
      <c r="I16" s="3">
        <f>C16*F16*12</f>
      </c>
      <c r="J16" s="3">
        <f>D16*6500*1.0</f>
      </c>
      <c r="K16" s="3">
        <f>C16*G16*12*1.0*H16</f>
      </c>
      <c r="L16" s="3">
        <f>I16+J16+K16</f>
      </c>
      <c r="M16" s="3">
        <f>(I16+J16)*0.15*1.0</f>
      </c>
      <c r="N16" s="3">
        <f>C16*G16*12*1.0*0.49*1.0</f>
      </c>
      <c r="O16" s="3">
        <f>L16-M16-N16</f>
      </c>
      <c r="P16" s="6">
        <v>105</v>
      </c>
      <c r="Q16" s="3">
        <f>P16*117000*1.0</f>
      </c>
      <c r="R16" s="7">
        <v>6500000.0</v>
      </c>
      <c r="S16" s="3">
        <f>O16-Q16-R16</f>
      </c>
      <c r="T16" s="7">
        <v>0</v>
      </c>
      <c r="U16" s="3">
        <f>U15+S16</f>
      </c>
    </row>
    <row r="17">
      <c r="A17" s="5">
        <v>5</v>
      </c>
      <c r="B17" s="6">
        <v>2600</v>
      </c>
      <c r="C17" s="6">
        <v>2175</v>
      </c>
      <c r="D17" s="6">
        <v>850</v>
      </c>
      <c r="E17" s="6">
        <v>32</v>
      </c>
      <c r="F17" s="7">
        <v>2168.0</v>
      </c>
      <c r="G17" s="7">
        <v>520</v>
      </c>
      <c r="H17" s="7">
        <v>0.8</v>
      </c>
      <c r="I17" s="3">
        <f>C17*F17*12</f>
      </c>
      <c r="J17" s="3">
        <f>D17*7000*1.0</f>
      </c>
      <c r="K17" s="3">
        <f>C17*G17*12*1.0*H17</f>
      </c>
      <c r="L17" s="3">
        <f>I17+J17+K17</f>
      </c>
      <c r="M17" s="3">
        <f>(I17+J17)*0.155*1.0</f>
      </c>
      <c r="N17" s="3">
        <f>C17*G17*12*1.0*0.46*1.0</f>
      </c>
      <c r="O17" s="3">
        <f>L17-M17-N17</f>
      </c>
      <c r="P17" s="6">
        <v>150</v>
      </c>
      <c r="Q17" s="3">
        <f>P17*120000*1.0</f>
      </c>
      <c r="R17" s="7">
        <v>9500000.0</v>
      </c>
      <c r="S17" s="3">
        <f>O17-Q17-R17</f>
      </c>
      <c r="T17" s="7">
        <v>0</v>
      </c>
      <c r="U17" s="3">
        <f>U16+S17</f>
      </c>
    </row>
    <row r="19">
      <c r="A19" s="1" t="inlineStr">
        <is>
          <t>Vahva skenaario</t>
        </is>
      </c>
    </row>
    <row r="20" ht="42" customHeight="1">
      <c r="A20" s="2" t="inlineStr">
        <is>
          <t>Vuosi</t>
        </is>
      </c>
      <c r="B20" s="2" t="inlineStr">
        <is>
          <t>Asiakkaat vuoden lopussa</t>
        </is>
      </c>
      <c r="C20" s="2" t="inlineStr">
        <is>
          <t>Keskimääräiset asiakkaat</t>
        </is>
      </c>
      <c r="D20" s="2" t="inlineStr">
        <is>
          <t>Uudet asiakkaat</t>
        </is>
      </c>
      <c r="E20" s="2" t="inlineStr">
        <is>
          <t>Käyttäjät / asiakas</t>
        </is>
      </c>
      <c r="F20" s="2" t="inlineStr">
        <is>
          <t>Jatkuva palvelu / asiakas / kk</t>
        </is>
      </c>
      <c r="G20" s="2" t="inlineStr">
        <is>
          <t>Tokenit miljoonaa / asiakas / kk</t>
        </is>
      </c>
      <c r="H20" s="2" t="inlineStr">
        <is>
          <t>Tokenhinta / miljoona</t>
        </is>
      </c>
      <c r="I20" s="2" t="inlineStr">
        <is>
          <t>Jatkuvan palvelun liikevaihto</t>
        </is>
      </c>
      <c r="J20" s="2" t="inlineStr">
        <is>
          <t>Käyttöönotot</t>
        </is>
      </c>
      <c r="K20" s="2" t="inlineStr">
        <is>
          <t>Tokenliikevaihto</t>
        </is>
      </c>
      <c r="L20" s="2" t="inlineStr">
        <is>
          <t>Liikevaihto</t>
        </is>
      </c>
      <c r="M20" s="2" t="inlineStr">
        <is>
          <t>Suorat palvelukulut</t>
        </is>
      </c>
      <c r="N20" s="2" t="inlineStr">
        <is>
          <t>Tokenien tukkukustannus</t>
        </is>
      </c>
      <c r="O20" s="2" t="inlineStr">
        <is>
          <t>Myyntikate</t>
        </is>
      </c>
      <c r="P20" s="2" t="inlineStr">
        <is>
          <t>Henkilöstö</t>
        </is>
      </c>
      <c r="Q20" s="2" t="inlineStr">
        <is>
          <t>Henkilökustannus</t>
        </is>
      </c>
      <c r="R20" s="2" t="inlineStr">
        <is>
          <t>Kiinteät kulut</t>
        </is>
      </c>
      <c r="S20" s="2" t="inlineStr">
        <is>
          <t>Käyttökate</t>
        </is>
      </c>
      <c r="T20" s="2" t="inlineStr">
        <is>
          <t>Alkuinvestointi</t>
        </is>
      </c>
      <c r="U20" s="2" t="inlineStr">
        <is>
          <t>Kumulatiivinen kassa</t>
        </is>
      </c>
    </row>
    <row r="21">
      <c r="A21" s="5">
        <v>1</v>
      </c>
      <c r="B21" s="6">
        <v>225</v>
      </c>
      <c r="C21" s="6">
        <v>112</v>
      </c>
      <c r="D21" s="6">
        <v>225</v>
      </c>
      <c r="E21" s="6">
        <v>20</v>
      </c>
      <c r="F21" s="7">
        <v>1270.5</v>
      </c>
      <c r="G21" s="7">
        <v>220</v>
      </c>
      <c r="H21" s="7">
        <v>1.05</v>
      </c>
      <c r="I21" s="3">
        <f>C21*F21*12</f>
      </c>
      <c r="J21" s="3">
        <f>D21*5000*1.05</f>
      </c>
      <c r="K21" s="3">
        <f>C21*G21*12*1.25*H21</f>
      </c>
      <c r="L21" s="3">
        <f>I21+J21+K21</f>
      </c>
      <c r="M21" s="3">
        <f>(I21+J21)*0.13*0.92</f>
      </c>
      <c r="N21" s="3">
        <f>C21*G21*12*1.25*0.58*0.92</f>
      </c>
      <c r="O21" s="3">
        <f>L21-M21-N21</f>
      </c>
      <c r="P21" s="6">
        <v>25</v>
      </c>
      <c r="Q21" s="3">
        <f>P21*108000*1.08</f>
      </c>
      <c r="R21" s="7">
        <v>1512000.0</v>
      </c>
      <c r="S21" s="3">
        <f>O21-Q21-R21</f>
      </c>
      <c r="T21" s="7">
        <v>4275000.0</v>
      </c>
      <c r="U21" s="3">
        <f>S21-4275000.0</f>
      </c>
    </row>
    <row r="22">
      <c r="A22" s="5">
        <v>2</v>
      </c>
      <c r="B22" s="6">
        <v>650</v>
      </c>
      <c r="C22" s="6">
        <v>438</v>
      </c>
      <c r="D22" s="6">
        <v>425</v>
      </c>
      <c r="E22" s="6">
        <v>22</v>
      </c>
      <c r="F22" s="7">
        <v>1428.0</v>
      </c>
      <c r="G22" s="7">
        <v>280</v>
      </c>
      <c r="H22" s="7">
        <v>0.9974999999999999</v>
      </c>
      <c r="I22" s="3">
        <f>C22*F22*12</f>
      </c>
      <c r="J22" s="3">
        <f>D22*5500*1.05</f>
      </c>
      <c r="K22" s="3">
        <f>C22*G22*12*1.25*H22</f>
      </c>
      <c r="L22" s="3">
        <f>I22+J22+K22</f>
      </c>
      <c r="M22" s="3">
        <f>(I22+J22)*0.14*0.92</f>
      </c>
      <c r="N22" s="3">
        <f>C22*G22*12*1.25*0.55*0.92</f>
      </c>
      <c r="O22" s="3">
        <f>L22-M22-N22</f>
      </c>
      <c r="P22" s="6">
        <v>42</v>
      </c>
      <c r="Q22" s="3">
        <f>P22*111000*1.08</f>
      </c>
      <c r="R22" s="7">
        <v>2592000.0</v>
      </c>
      <c r="S22" s="3">
        <f>O22-Q22-R22</f>
      </c>
      <c r="T22" s="7">
        <v>0</v>
      </c>
      <c r="U22" s="3">
        <f>U21+S22</f>
      </c>
    </row>
    <row r="23">
      <c r="A23" s="5">
        <v>3</v>
      </c>
      <c r="B23" s="6">
        <v>1312</v>
      </c>
      <c r="C23" s="6">
        <v>981</v>
      </c>
      <c r="D23" s="6">
        <v>662</v>
      </c>
      <c r="E23" s="6">
        <v>25</v>
      </c>
      <c r="F23" s="7">
        <v>1685.25</v>
      </c>
      <c r="G23" s="7">
        <v>350</v>
      </c>
      <c r="H23" s="7">
        <v>0.9450000000000001</v>
      </c>
      <c r="I23" s="3">
        <f>C23*F23*12</f>
      </c>
      <c r="J23" s="3">
        <f>D23*6000*1.05</f>
      </c>
      <c r="K23" s="3">
        <f>C23*G23*12*1.25*H23</f>
      </c>
      <c r="L23" s="3">
        <f>I23+J23+K23</f>
      </c>
      <c r="M23" s="3">
        <f>(I23+J23)*0.145*0.92</f>
      </c>
      <c r="N23" s="3">
        <f>C23*G23*12*1.25*0.52*0.92</f>
      </c>
      <c r="O23" s="3">
        <f>L23-M23-N23</f>
      </c>
      <c r="P23" s="6">
        <v>68</v>
      </c>
      <c r="Q23" s="3">
        <f>P23*114000*1.08</f>
      </c>
      <c r="R23" s="7">
        <v>4320000.0</v>
      </c>
      <c r="S23" s="3">
        <f>O23-Q23-R23</f>
      </c>
      <c r="T23" s="7">
        <v>0</v>
      </c>
      <c r="U23" s="3">
        <f>U22+S23</f>
      </c>
    </row>
    <row r="24">
      <c r="A24" s="5">
        <v>4</v>
      </c>
      <c r="B24" s="6">
        <v>2188</v>
      </c>
      <c r="C24" s="6">
        <v>1750</v>
      </c>
      <c r="D24" s="6">
        <v>875</v>
      </c>
      <c r="E24" s="6">
        <v>28</v>
      </c>
      <c r="F24" s="7">
        <v>1950.9</v>
      </c>
      <c r="G24" s="7">
        <v>430</v>
      </c>
      <c r="H24" s="7">
        <v>0.8925</v>
      </c>
      <c r="I24" s="3">
        <f>C24*F24*12</f>
      </c>
      <c r="J24" s="3">
        <f>D24*6500*1.05</f>
      </c>
      <c r="K24" s="3">
        <f>C24*G24*12*1.25*H24</f>
      </c>
      <c r="L24" s="3">
        <f>I24+J24+K24</f>
      </c>
      <c r="M24" s="3">
        <f>(I24+J24)*0.15*0.92</f>
      </c>
      <c r="N24" s="3">
        <f>C24*G24*12*1.25*0.49*0.92</f>
      </c>
      <c r="O24" s="3">
        <f>L24-M24-N24</f>
      </c>
      <c r="P24" s="6">
        <v>105</v>
      </c>
      <c r="Q24" s="3">
        <f>P24*117000*1.08</f>
      </c>
      <c r="R24" s="7">
        <v>7020000.0</v>
      </c>
      <c r="S24" s="3">
        <f>O24-Q24-R24</f>
      </c>
      <c r="T24" s="7">
        <v>0</v>
      </c>
      <c r="U24" s="3">
        <f>U23+S24</f>
      </c>
    </row>
    <row r="25">
      <c r="A25" s="5">
        <v>5</v>
      </c>
      <c r="B25" s="6">
        <v>3250</v>
      </c>
      <c r="C25" s="6">
        <v>2719</v>
      </c>
      <c r="D25" s="6">
        <v>1062</v>
      </c>
      <c r="E25" s="6">
        <v>32</v>
      </c>
      <c r="F25" s="7">
        <v>2276.4</v>
      </c>
      <c r="G25" s="7">
        <v>520</v>
      </c>
      <c r="H25" s="7">
        <v>0.8400000000000001</v>
      </c>
      <c r="I25" s="3">
        <f>C25*F25*12</f>
      </c>
      <c r="J25" s="3">
        <f>D25*7000*1.05</f>
      </c>
      <c r="K25" s="3">
        <f>C25*G25*12*1.25*H25</f>
      </c>
      <c r="L25" s="3">
        <f>I25+J25+K25</f>
      </c>
      <c r="M25" s="3">
        <f>(I25+J25)*0.155*0.92</f>
      </c>
      <c r="N25" s="3">
        <f>C25*G25*12*1.25*0.46*0.92</f>
      </c>
      <c r="O25" s="3">
        <f>L25-M25-N25</f>
      </c>
      <c r="P25" s="6">
        <v>150</v>
      </c>
      <c r="Q25" s="3">
        <f>P25*120000*1.08</f>
      </c>
      <c r="R25" s="7">
        <v>10260000.0</v>
      </c>
      <c r="S25" s="3">
        <f>O25-Q25-R25</f>
      </c>
      <c r="T25" s="7">
        <v>0</v>
      </c>
      <c r="U25" s="3">
        <f>U24+S25</f>
      </c>
    </row>
  </sheetData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1" topLeftCell="A5" activePane="bottomLeft" state="frozen"/>
    </sheetView>
  </sheetViews>
  <cols>
    <col min="1" max="1" width="8" customWidth="1"/>
    <col min="2" max="2" width="18" customWidth="1"/>
    <col min="3" max="3" width="18" customWidth="1"/>
    <col min="4" max="4" width="14" customWidth="1"/>
    <col min="5" max="5" width="14" customWidth="1"/>
    <col min="6" max="6" width="20" customWidth="1"/>
    <col min="7" max="7" width="20" customWidth="1"/>
    <col min="8" max="8" width="18" customWidth="1"/>
    <col min="9" max="9" width="20" customWidth="1"/>
    <col min="10" max="10" width="18" customWidth="1"/>
    <col min="11" max="11" width="18" customWidth="1"/>
    <col min="12" max="12" width="18" customWidth="1"/>
    <col min="13" max="13" width="18" customWidth="1"/>
    <col min="14" max="14" width="20" customWidth="1"/>
    <col min="15" max="15" width="18" customWidth="1"/>
    <col min="16" max="16" width="12" customWidth="1"/>
    <col min="17" max="17" width="18" customWidth="1"/>
    <col min="18" max="18" width="16" customWidth="1"/>
    <col min="19" max="19" width="18" customWidth="1"/>
    <col min="20" max="20" width="18" customWidth="1"/>
    <col min="21" max="21" width="22" customWidth="1"/>
  </cols>
  <sheetData>
    <row r="1">
      <c r="A1" s="1" t="inlineStr">
        <is>
          <t>Toimialakohtainen yritysvirtuaalioperaattori</t>
        </is>
      </c>
    </row>
    <row r="3">
      <c r="A3" s="1" t="inlineStr">
        <is>
          <t>Heikko skenaario</t>
        </is>
      </c>
    </row>
    <row r="4" ht="42" customHeight="1">
      <c r="A4" s="2" t="inlineStr">
        <is>
          <t>Vuosi</t>
        </is>
      </c>
      <c r="B4" s="2" t="inlineStr">
        <is>
          <t>Asiakkaat vuoden lopussa</t>
        </is>
      </c>
      <c r="C4" s="2" t="inlineStr">
        <is>
          <t>Keskimääräiset asiakkaat</t>
        </is>
      </c>
      <c r="D4" s="2" t="inlineStr">
        <is>
          <t>Uudet asiakkaat</t>
        </is>
      </c>
      <c r="E4" s="2" t="inlineStr">
        <is>
          <t>Käyttäjät / asiakas</t>
        </is>
      </c>
      <c r="F4" s="2" t="inlineStr">
        <is>
          <t>Jatkuva palvelu / asiakas / kk</t>
        </is>
      </c>
      <c r="G4" s="2" t="inlineStr">
        <is>
          <t>Tokenit miljoonaa / asiakas / kk</t>
        </is>
      </c>
      <c r="H4" s="2" t="inlineStr">
        <is>
          <t>Tokenhinta / miljoona</t>
        </is>
      </c>
      <c r="I4" s="2" t="inlineStr">
        <is>
          <t>Jatkuvan palvelun liikevaihto</t>
        </is>
      </c>
      <c r="J4" s="2" t="inlineStr">
        <is>
          <t>Käyttöönotot</t>
        </is>
      </c>
      <c r="K4" s="2" t="inlineStr">
        <is>
          <t>Tokenliikevaihto</t>
        </is>
      </c>
      <c r="L4" s="2" t="inlineStr">
        <is>
          <t>Liikevaihto</t>
        </is>
      </c>
      <c r="M4" s="2" t="inlineStr">
        <is>
          <t>Suorat palvelukulut</t>
        </is>
      </c>
      <c r="N4" s="2" t="inlineStr">
        <is>
          <t>Tokenien tukkukustannus</t>
        </is>
      </c>
      <c r="O4" s="2" t="inlineStr">
        <is>
          <t>Myyntikate</t>
        </is>
      </c>
      <c r="P4" s="2" t="inlineStr">
        <is>
          <t>Henkilöstö</t>
        </is>
      </c>
      <c r="Q4" s="2" t="inlineStr">
        <is>
          <t>Henkilökustannus</t>
        </is>
      </c>
      <c r="R4" s="2" t="inlineStr">
        <is>
          <t>Kiinteät kulut</t>
        </is>
      </c>
      <c r="S4" s="2" t="inlineStr">
        <is>
          <t>Käyttökate</t>
        </is>
      </c>
      <c r="T4" s="2" t="inlineStr">
        <is>
          <t>Alkuinvestointi</t>
        </is>
      </c>
      <c r="U4" s="2" t="inlineStr">
        <is>
          <t>Kumulatiivinen kassa</t>
        </is>
      </c>
    </row>
    <row r="5">
      <c r="A5" s="5">
        <v>1</v>
      </c>
      <c r="B5" s="6">
        <v>35</v>
      </c>
      <c r="C5" s="6">
        <v>21</v>
      </c>
      <c r="D5" s="6">
        <v>35</v>
      </c>
      <c r="E5" s="6">
        <v>5</v>
      </c>
      <c r="F5" s="7">
        <v>279.0</v>
      </c>
      <c r="G5" s="7">
        <v>50</v>
      </c>
      <c r="H5" s="7">
        <v>0.855</v>
      </c>
      <c r="I5" s="3">
        <f>C5*F5*12</f>
      </c>
      <c r="J5" s="3">
        <f>D5*1500*0.9</f>
      </c>
      <c r="K5" s="3">
        <f>C5*G5*12*0.7*H5</f>
      </c>
      <c r="L5" s="3">
        <f>I5+J5+K5</f>
      </c>
      <c r="M5" s="3">
        <f>(I5+J5)*0.12*1.12</f>
      </c>
      <c r="N5" s="3">
        <f>C5*G5*12*0.7*0.65*1.12</f>
      </c>
      <c r="O5" s="3">
        <f>L5-M5-N5</f>
      </c>
      <c r="P5" s="6">
        <v>5</v>
      </c>
      <c r="Q5" s="3">
        <f>P5*90000*1.05</f>
      </c>
      <c r="R5" s="7">
        <v>275000.0</v>
      </c>
      <c r="S5" s="3">
        <f>O5-Q5-R5</f>
      </c>
      <c r="T5" s="7">
        <v>330000.0</v>
      </c>
      <c r="U5" s="3">
        <f>S5-330000.0</f>
      </c>
    </row>
    <row r="6">
      <c r="A6" s="5">
        <v>2</v>
      </c>
      <c r="B6" s="6">
        <v>126</v>
      </c>
      <c r="C6" s="6">
        <v>80</v>
      </c>
      <c r="D6" s="6">
        <v>91</v>
      </c>
      <c r="E6" s="6">
        <v>6</v>
      </c>
      <c r="F6" s="7">
        <v>317.7</v>
      </c>
      <c r="G6" s="7">
        <v>80</v>
      </c>
      <c r="H6" s="7">
        <v>0.81</v>
      </c>
      <c r="I6" s="3">
        <f>C6*F6*12</f>
      </c>
      <c r="J6" s="3">
        <f>D6*1600*0.9</f>
      </c>
      <c r="K6" s="3">
        <f>C6*G6*12*0.7*H6</f>
      </c>
      <c r="L6" s="3">
        <f>I6+J6+K6</f>
      </c>
      <c r="M6" s="3">
        <f>(I6+J6)*0.12*1.12</f>
      </c>
      <c r="N6" s="3">
        <f>C6*G6*12*0.7*0.6*1.12</f>
      </c>
      <c r="O6" s="3">
        <f>L6-M6-N6</f>
      </c>
      <c r="P6" s="6">
        <v>8</v>
      </c>
      <c r="Q6" s="3">
        <f>P6*93000*1.05</f>
      </c>
      <c r="R6" s="7">
        <v>462000.00000000006</v>
      </c>
      <c r="S6" s="3">
        <f>O6-Q6-R6</f>
      </c>
      <c r="T6" s="7">
        <v>0</v>
      </c>
      <c r="U6" s="3">
        <f>U5+S6</f>
      </c>
    </row>
    <row r="7">
      <c r="A7" s="5">
        <v>3</v>
      </c>
      <c r="B7" s="6">
        <v>336</v>
      </c>
      <c r="C7" s="6">
        <v>231</v>
      </c>
      <c r="D7" s="6">
        <v>210</v>
      </c>
      <c r="E7" s="6">
        <v>7</v>
      </c>
      <c r="F7" s="7">
        <v>358.2</v>
      </c>
      <c r="G7" s="7">
        <v>120</v>
      </c>
      <c r="H7" s="7">
        <v>0.765</v>
      </c>
      <c r="I7" s="3">
        <f>C7*F7*12</f>
      </c>
      <c r="J7" s="3">
        <f>D7*1750*0.9</f>
      </c>
      <c r="K7" s="3">
        <f>C7*G7*12*0.7*H7</f>
      </c>
      <c r="L7" s="3">
        <f>I7+J7+K7</f>
      </c>
      <c r="M7" s="3">
        <f>(I7+J7)*0.115*1.12</f>
      </c>
      <c r="N7" s="3">
        <f>C7*G7*12*0.7*0.55*1.12</f>
      </c>
      <c r="O7" s="3">
        <f>L7-M7-N7</f>
      </c>
      <c r="P7" s="6">
        <v>13</v>
      </c>
      <c r="Q7" s="3">
        <f>P7*96000*1.05</f>
      </c>
      <c r="R7" s="7">
        <v>770000.0000000001</v>
      </c>
      <c r="S7" s="3">
        <f>O7-Q7-R7</f>
      </c>
      <c r="T7" s="7">
        <v>0</v>
      </c>
      <c r="U7" s="3">
        <f>U6+S7</f>
      </c>
    </row>
    <row r="8">
      <c r="A8" s="5">
        <v>4</v>
      </c>
      <c r="B8" s="6">
        <v>770</v>
      </c>
      <c r="C8" s="6">
        <v>553</v>
      </c>
      <c r="D8" s="6">
        <v>434</v>
      </c>
      <c r="E8" s="6">
        <v>8</v>
      </c>
      <c r="F8" s="7">
        <v>400.5</v>
      </c>
      <c r="G8" s="7">
        <v>180</v>
      </c>
      <c r="H8" s="7">
        <v>0.7200000000000001</v>
      </c>
      <c r="I8" s="3">
        <f>C8*F8*12</f>
      </c>
      <c r="J8" s="3">
        <f>D8*1900*0.9</f>
      </c>
      <c r="K8" s="3">
        <f>C8*G8*12*0.7*H8</f>
      </c>
      <c r="L8" s="3">
        <f>I8+J8+K8</f>
      </c>
      <c r="M8" s="3">
        <f>(I8+J8)*0.11*1.12</f>
      </c>
      <c r="N8" s="3">
        <f>C8*G8*12*0.7*0.5*1.12</f>
      </c>
      <c r="O8" s="3">
        <f>L8-M8-N8</f>
      </c>
      <c r="P8" s="6">
        <v>20</v>
      </c>
      <c r="Q8" s="3">
        <f>P8*100000*1.05</f>
      </c>
      <c r="R8" s="7">
        <v>1155000.0</v>
      </c>
      <c r="S8" s="3">
        <f>O8-Q8-R8</f>
      </c>
      <c r="T8" s="7">
        <v>0</v>
      </c>
      <c r="U8" s="3">
        <f>U7+S8</f>
      </c>
    </row>
    <row r="9">
      <c r="A9" s="5">
        <v>5</v>
      </c>
      <c r="B9" s="6">
        <v>1540</v>
      </c>
      <c r="C9" s="6">
        <v>1155</v>
      </c>
      <c r="D9" s="6">
        <v>770</v>
      </c>
      <c r="E9" s="6">
        <v>8</v>
      </c>
      <c r="F9" s="7">
        <v>423.0</v>
      </c>
      <c r="G9" s="7">
        <v>250</v>
      </c>
      <c r="H9" s="7">
        <v>0.675</v>
      </c>
      <c r="I9" s="3">
        <f>C9*F9*12</f>
      </c>
      <c r="J9" s="3">
        <f>D9*2000*0.9</f>
      </c>
      <c r="K9" s="3">
        <f>C9*G9*12*0.7*H9</f>
      </c>
      <c r="L9" s="3">
        <f>I9+J9+K9</f>
      </c>
      <c r="M9" s="3">
        <f>(I9+J9)*0.1*1.12</f>
      </c>
      <c r="N9" s="3">
        <f>C9*G9*12*0.7*0.45*1.12</f>
      </c>
      <c r="O9" s="3">
        <f>L9-M9-N9</f>
      </c>
      <c r="P9" s="6">
        <v>28</v>
      </c>
      <c r="Q9" s="3">
        <f>P9*105000*1.05</f>
      </c>
      <c r="R9" s="7">
        <v>1650000.0000000002</v>
      </c>
      <c r="S9" s="3">
        <f>O9-Q9-R9</f>
      </c>
      <c r="T9" s="7">
        <v>0</v>
      </c>
      <c r="U9" s="3">
        <f>U8+S9</f>
      </c>
    </row>
    <row r="11">
      <c r="A11" s="1" t="inlineStr">
        <is>
          <t>Perus skenaario</t>
        </is>
      </c>
    </row>
    <row r="12" ht="42" customHeight="1">
      <c r="A12" s="2" t="inlineStr">
        <is>
          <t>Vuosi</t>
        </is>
      </c>
      <c r="B12" s="2" t="inlineStr">
        <is>
          <t>Asiakkaat vuoden lopussa</t>
        </is>
      </c>
      <c r="C12" s="2" t="inlineStr">
        <is>
          <t>Keskimääräiset asiakkaat</t>
        </is>
      </c>
      <c r="D12" s="2" t="inlineStr">
        <is>
          <t>Uudet asiakkaat</t>
        </is>
      </c>
      <c r="E12" s="2" t="inlineStr">
        <is>
          <t>Käyttäjät / asiakas</t>
        </is>
      </c>
      <c r="F12" s="2" t="inlineStr">
        <is>
          <t>Jatkuva palvelu / asiakas / kk</t>
        </is>
      </c>
      <c r="G12" s="2" t="inlineStr">
        <is>
          <t>Tokenit miljoonaa / asiakas / kk</t>
        </is>
      </c>
      <c r="H12" s="2" t="inlineStr">
        <is>
          <t>Tokenhinta / miljoona</t>
        </is>
      </c>
      <c r="I12" s="2" t="inlineStr">
        <is>
          <t>Jatkuvan palvelun liikevaihto</t>
        </is>
      </c>
      <c r="J12" s="2" t="inlineStr">
        <is>
          <t>Käyttöönotot</t>
        </is>
      </c>
      <c r="K12" s="2" t="inlineStr">
        <is>
          <t>Tokenliikevaihto</t>
        </is>
      </c>
      <c r="L12" s="2" t="inlineStr">
        <is>
          <t>Liikevaihto</t>
        </is>
      </c>
      <c r="M12" s="2" t="inlineStr">
        <is>
          <t>Suorat palvelukulut</t>
        </is>
      </c>
      <c r="N12" s="2" t="inlineStr">
        <is>
          <t>Tokenien tukkukustannus</t>
        </is>
      </c>
      <c r="O12" s="2" t="inlineStr">
        <is>
          <t>Myyntikate</t>
        </is>
      </c>
      <c r="P12" s="2" t="inlineStr">
        <is>
          <t>Henkilöstö</t>
        </is>
      </c>
      <c r="Q12" s="2" t="inlineStr">
        <is>
          <t>Henkilökustannus</t>
        </is>
      </c>
      <c r="R12" s="2" t="inlineStr">
        <is>
          <t>Kiinteät kulut</t>
        </is>
      </c>
      <c r="S12" s="2" t="inlineStr">
        <is>
          <t>Käyttökate</t>
        </is>
      </c>
      <c r="T12" s="2" t="inlineStr">
        <is>
          <t>Alkuinvestointi</t>
        </is>
      </c>
      <c r="U12" s="2" t="inlineStr">
        <is>
          <t>Kumulatiivinen kassa</t>
        </is>
      </c>
    </row>
    <row r="13">
      <c r="A13" s="5">
        <v>1</v>
      </c>
      <c r="B13" s="6">
        <v>50</v>
      </c>
      <c r="C13" s="6">
        <v>30</v>
      </c>
      <c r="D13" s="6">
        <v>50</v>
      </c>
      <c r="E13" s="6">
        <v>5</v>
      </c>
      <c r="F13" s="7">
        <v>310.0</v>
      </c>
      <c r="G13" s="7">
        <v>50</v>
      </c>
      <c r="H13" s="7">
        <v>0.95</v>
      </c>
      <c r="I13" s="3">
        <f>C13*F13*12</f>
      </c>
      <c r="J13" s="3">
        <f>D13*1500*1.0</f>
      </c>
      <c r="K13" s="3">
        <f>C13*G13*12*1.0*H13</f>
      </c>
      <c r="L13" s="3">
        <f>I13+J13+K13</f>
      </c>
      <c r="M13" s="3">
        <f>(I13+J13)*0.12*1.0</f>
      </c>
      <c r="N13" s="3">
        <f>C13*G13*12*1.0*0.65*1.0</f>
      </c>
      <c r="O13" s="3">
        <f>L13-M13-N13</f>
      </c>
      <c r="P13" s="6">
        <v>5</v>
      </c>
      <c r="Q13" s="3">
        <f>P13*90000*1.0</f>
      </c>
      <c r="R13" s="7">
        <v>250000.0</v>
      </c>
      <c r="S13" s="3">
        <f>O13-Q13-R13</f>
      </c>
      <c r="T13" s="7">
        <v>300000.0</v>
      </c>
      <c r="U13" s="3">
        <f>S13-300000.0</f>
      </c>
    </row>
    <row r="14">
      <c r="A14" s="5">
        <v>2</v>
      </c>
      <c r="B14" s="6">
        <v>180</v>
      </c>
      <c r="C14" s="6">
        <v>115</v>
      </c>
      <c r="D14" s="6">
        <v>130</v>
      </c>
      <c r="E14" s="6">
        <v>6</v>
      </c>
      <c r="F14" s="7">
        <v>353.0</v>
      </c>
      <c r="G14" s="7">
        <v>80</v>
      </c>
      <c r="H14" s="7">
        <v>0.9</v>
      </c>
      <c r="I14" s="3">
        <f>C14*F14*12</f>
      </c>
      <c r="J14" s="3">
        <f>D14*1600*1.0</f>
      </c>
      <c r="K14" s="3">
        <f>C14*G14*12*1.0*H14</f>
      </c>
      <c r="L14" s="3">
        <f>I14+J14+K14</f>
      </c>
      <c r="M14" s="3">
        <f>(I14+J14)*0.12*1.0</f>
      </c>
      <c r="N14" s="3">
        <f>C14*G14*12*1.0*0.6*1.0</f>
      </c>
      <c r="O14" s="3">
        <f>L14-M14-N14</f>
      </c>
      <c r="P14" s="6">
        <v>8</v>
      </c>
      <c r="Q14" s="3">
        <f>P14*93000*1.0</f>
      </c>
      <c r="R14" s="7">
        <v>420000.0</v>
      </c>
      <c r="S14" s="3">
        <f>O14-Q14-R14</f>
      </c>
      <c r="T14" s="7">
        <v>0</v>
      </c>
      <c r="U14" s="3">
        <f>U13+S14</f>
      </c>
    </row>
    <row r="15">
      <c r="A15" s="5">
        <v>3</v>
      </c>
      <c r="B15" s="6">
        <v>480</v>
      </c>
      <c r="C15" s="6">
        <v>330</v>
      </c>
      <c r="D15" s="6">
        <v>300</v>
      </c>
      <c r="E15" s="6">
        <v>7</v>
      </c>
      <c r="F15" s="7">
        <v>398.0</v>
      </c>
      <c r="G15" s="7">
        <v>120</v>
      </c>
      <c r="H15" s="7">
        <v>0.85</v>
      </c>
      <c r="I15" s="3">
        <f>C15*F15*12</f>
      </c>
      <c r="J15" s="3">
        <f>D15*1750*1.0</f>
      </c>
      <c r="K15" s="3">
        <f>C15*G15*12*1.0*H15</f>
      </c>
      <c r="L15" s="3">
        <f>I15+J15+K15</f>
      </c>
      <c r="M15" s="3">
        <f>(I15+J15)*0.115*1.0</f>
      </c>
      <c r="N15" s="3">
        <f>C15*G15*12*1.0*0.55*1.0</f>
      </c>
      <c r="O15" s="3">
        <f>L15-M15-N15</f>
      </c>
      <c r="P15" s="6">
        <v>13</v>
      </c>
      <c r="Q15" s="3">
        <f>P15*96000*1.0</f>
      </c>
      <c r="R15" s="7">
        <v>700000.0</v>
      </c>
      <c r="S15" s="3">
        <f>O15-Q15-R15</f>
      </c>
      <c r="T15" s="7">
        <v>0</v>
      </c>
      <c r="U15" s="3">
        <f>U14+S15</f>
      </c>
    </row>
    <row r="16">
      <c r="A16" s="5">
        <v>4</v>
      </c>
      <c r="B16" s="6">
        <v>1100</v>
      </c>
      <c r="C16" s="6">
        <v>790</v>
      </c>
      <c r="D16" s="6">
        <v>620</v>
      </c>
      <c r="E16" s="6">
        <v>8</v>
      </c>
      <c r="F16" s="7">
        <v>445.0</v>
      </c>
      <c r="G16" s="7">
        <v>180</v>
      </c>
      <c r="H16" s="7">
        <v>0.8</v>
      </c>
      <c r="I16" s="3">
        <f>C16*F16*12</f>
      </c>
      <c r="J16" s="3">
        <f>D16*1900*1.0</f>
      </c>
      <c r="K16" s="3">
        <f>C16*G16*12*1.0*H16</f>
      </c>
      <c r="L16" s="3">
        <f>I16+J16+K16</f>
      </c>
      <c r="M16" s="3">
        <f>(I16+J16)*0.11*1.0</f>
      </c>
      <c r="N16" s="3">
        <f>C16*G16*12*1.0*0.5*1.0</f>
      </c>
      <c r="O16" s="3">
        <f>L16-M16-N16</f>
      </c>
      <c r="P16" s="6">
        <v>20</v>
      </c>
      <c r="Q16" s="3">
        <f>P16*100000*1.0</f>
      </c>
      <c r="R16" s="7">
        <v>1050000.0</v>
      </c>
      <c r="S16" s="3">
        <f>O16-Q16-R16</f>
      </c>
      <c r="T16" s="7">
        <v>0</v>
      </c>
      <c r="U16" s="3">
        <f>U15+S16</f>
      </c>
    </row>
    <row r="17">
      <c r="A17" s="5">
        <v>5</v>
      </c>
      <c r="B17" s="6">
        <v>2200</v>
      </c>
      <c r="C17" s="6">
        <v>1650</v>
      </c>
      <c r="D17" s="6">
        <v>1100</v>
      </c>
      <c r="E17" s="6">
        <v>8</v>
      </c>
      <c r="F17" s="7">
        <v>470.0</v>
      </c>
      <c r="G17" s="7">
        <v>250</v>
      </c>
      <c r="H17" s="7">
        <v>0.75</v>
      </c>
      <c r="I17" s="3">
        <f>C17*F17*12</f>
      </c>
      <c r="J17" s="3">
        <f>D17*2000*1.0</f>
      </c>
      <c r="K17" s="3">
        <f>C17*G17*12*1.0*H17</f>
      </c>
      <c r="L17" s="3">
        <f>I17+J17+K17</f>
      </c>
      <c r="M17" s="3">
        <f>(I17+J17)*0.1*1.0</f>
      </c>
      <c r="N17" s="3">
        <f>C17*G17*12*1.0*0.45*1.0</f>
      </c>
      <c r="O17" s="3">
        <f>L17-M17-N17</f>
      </c>
      <c r="P17" s="6">
        <v>28</v>
      </c>
      <c r="Q17" s="3">
        <f>P17*105000*1.0</f>
      </c>
      <c r="R17" s="7">
        <v>1500000.0</v>
      </c>
      <c r="S17" s="3">
        <f>O17-Q17-R17</f>
      </c>
      <c r="T17" s="7">
        <v>0</v>
      </c>
      <c r="U17" s="3">
        <f>U16+S17</f>
      </c>
    </row>
    <row r="19">
      <c r="A19" s="1" t="inlineStr">
        <is>
          <t>Vahva skenaario</t>
        </is>
      </c>
    </row>
    <row r="20" ht="42" customHeight="1">
      <c r="A20" s="2" t="inlineStr">
        <is>
          <t>Vuosi</t>
        </is>
      </c>
      <c r="B20" s="2" t="inlineStr">
        <is>
          <t>Asiakkaat vuoden lopussa</t>
        </is>
      </c>
      <c r="C20" s="2" t="inlineStr">
        <is>
          <t>Keskimääräiset asiakkaat</t>
        </is>
      </c>
      <c r="D20" s="2" t="inlineStr">
        <is>
          <t>Uudet asiakkaat</t>
        </is>
      </c>
      <c r="E20" s="2" t="inlineStr">
        <is>
          <t>Käyttäjät / asiakas</t>
        </is>
      </c>
      <c r="F20" s="2" t="inlineStr">
        <is>
          <t>Jatkuva palvelu / asiakas / kk</t>
        </is>
      </c>
      <c r="G20" s="2" t="inlineStr">
        <is>
          <t>Tokenit miljoonaa / asiakas / kk</t>
        </is>
      </c>
      <c r="H20" s="2" t="inlineStr">
        <is>
          <t>Tokenhinta / miljoona</t>
        </is>
      </c>
      <c r="I20" s="2" t="inlineStr">
        <is>
          <t>Jatkuvan palvelun liikevaihto</t>
        </is>
      </c>
      <c r="J20" s="2" t="inlineStr">
        <is>
          <t>Käyttöönotot</t>
        </is>
      </c>
      <c r="K20" s="2" t="inlineStr">
        <is>
          <t>Tokenliikevaihto</t>
        </is>
      </c>
      <c r="L20" s="2" t="inlineStr">
        <is>
          <t>Liikevaihto</t>
        </is>
      </c>
      <c r="M20" s="2" t="inlineStr">
        <is>
          <t>Suorat palvelukulut</t>
        </is>
      </c>
      <c r="N20" s="2" t="inlineStr">
        <is>
          <t>Tokenien tukkukustannus</t>
        </is>
      </c>
      <c r="O20" s="2" t="inlineStr">
        <is>
          <t>Myyntikate</t>
        </is>
      </c>
      <c r="P20" s="2" t="inlineStr">
        <is>
          <t>Henkilöstö</t>
        </is>
      </c>
      <c r="Q20" s="2" t="inlineStr">
        <is>
          <t>Henkilökustannus</t>
        </is>
      </c>
      <c r="R20" s="2" t="inlineStr">
        <is>
          <t>Kiinteät kulut</t>
        </is>
      </c>
      <c r="S20" s="2" t="inlineStr">
        <is>
          <t>Käyttökate</t>
        </is>
      </c>
      <c r="T20" s="2" t="inlineStr">
        <is>
          <t>Alkuinvestointi</t>
        </is>
      </c>
      <c r="U20" s="2" t="inlineStr">
        <is>
          <t>Kumulatiivinen kassa</t>
        </is>
      </c>
    </row>
    <row r="21">
      <c r="A21" s="5">
        <v>1</v>
      </c>
      <c r="B21" s="6">
        <v>62</v>
      </c>
      <c r="C21" s="6">
        <v>38</v>
      </c>
      <c r="D21" s="6">
        <v>62</v>
      </c>
      <c r="E21" s="6">
        <v>5</v>
      </c>
      <c r="F21" s="7">
        <v>325.5</v>
      </c>
      <c r="G21" s="7">
        <v>50</v>
      </c>
      <c r="H21" s="7">
        <v>0.9974999999999999</v>
      </c>
      <c r="I21" s="3">
        <f>C21*F21*12</f>
      </c>
      <c r="J21" s="3">
        <f>D21*1500*1.05</f>
      </c>
      <c r="K21" s="3">
        <f>C21*G21*12*1.25*H21</f>
      </c>
      <c r="L21" s="3">
        <f>I21+J21+K21</f>
      </c>
      <c r="M21" s="3">
        <f>(I21+J21)*0.12*0.92</f>
      </c>
      <c r="N21" s="3">
        <f>C21*G21*12*1.25*0.65*0.92</f>
      </c>
      <c r="O21" s="3">
        <f>L21-M21-N21</f>
      </c>
      <c r="P21" s="6">
        <v>5</v>
      </c>
      <c r="Q21" s="3">
        <f>P21*90000*1.08</f>
      </c>
      <c r="R21" s="7">
        <v>270000.0</v>
      </c>
      <c r="S21" s="3">
        <f>O21-Q21-R21</f>
      </c>
      <c r="T21" s="7">
        <v>285000.0</v>
      </c>
      <c r="U21" s="3">
        <f>S21-285000.0</f>
      </c>
    </row>
    <row r="22">
      <c r="A22" s="5">
        <v>2</v>
      </c>
      <c r="B22" s="6">
        <v>225</v>
      </c>
      <c r="C22" s="6">
        <v>144</v>
      </c>
      <c r="D22" s="6">
        <v>162</v>
      </c>
      <c r="E22" s="6">
        <v>6</v>
      </c>
      <c r="F22" s="7">
        <v>370.65000000000003</v>
      </c>
      <c r="G22" s="7">
        <v>80</v>
      </c>
      <c r="H22" s="7">
        <v>0.9450000000000001</v>
      </c>
      <c r="I22" s="3">
        <f>C22*F22*12</f>
      </c>
      <c r="J22" s="3">
        <f>D22*1600*1.05</f>
      </c>
      <c r="K22" s="3">
        <f>C22*G22*12*1.25*H22</f>
      </c>
      <c r="L22" s="3">
        <f>I22+J22+K22</f>
      </c>
      <c r="M22" s="3">
        <f>(I22+J22)*0.12*0.92</f>
      </c>
      <c r="N22" s="3">
        <f>C22*G22*12*1.25*0.6*0.92</f>
      </c>
      <c r="O22" s="3">
        <f>L22-M22-N22</f>
      </c>
      <c r="P22" s="6">
        <v>8</v>
      </c>
      <c r="Q22" s="3">
        <f>P22*93000*1.08</f>
      </c>
      <c r="R22" s="7">
        <v>453600.00000000006</v>
      </c>
      <c r="S22" s="3">
        <f>O22-Q22-R22</f>
      </c>
      <c r="T22" s="7">
        <v>0</v>
      </c>
      <c r="U22" s="3">
        <f>U21+S22</f>
      </c>
    </row>
    <row r="23">
      <c r="A23" s="5">
        <v>3</v>
      </c>
      <c r="B23" s="6">
        <v>600</v>
      </c>
      <c r="C23" s="6">
        <v>412</v>
      </c>
      <c r="D23" s="6">
        <v>375</v>
      </c>
      <c r="E23" s="6">
        <v>7</v>
      </c>
      <c r="F23" s="7">
        <v>417.90000000000003</v>
      </c>
      <c r="G23" s="7">
        <v>120</v>
      </c>
      <c r="H23" s="7">
        <v>0.8925</v>
      </c>
      <c r="I23" s="3">
        <f>C23*F23*12</f>
      </c>
      <c r="J23" s="3">
        <f>D23*1750*1.05</f>
      </c>
      <c r="K23" s="3">
        <f>C23*G23*12*1.25*H23</f>
      </c>
      <c r="L23" s="3">
        <f>I23+J23+K23</f>
      </c>
      <c r="M23" s="3">
        <f>(I23+J23)*0.115*0.92</f>
      </c>
      <c r="N23" s="3">
        <f>C23*G23*12*1.25*0.55*0.92</f>
      </c>
      <c r="O23" s="3">
        <f>L23-M23-N23</f>
      </c>
      <c r="P23" s="6">
        <v>13</v>
      </c>
      <c r="Q23" s="3">
        <f>P23*96000*1.08</f>
      </c>
      <c r="R23" s="7">
        <v>756000.0</v>
      </c>
      <c r="S23" s="3">
        <f>O23-Q23-R23</f>
      </c>
      <c r="T23" s="7">
        <v>0</v>
      </c>
      <c r="U23" s="3">
        <f>U22+S23</f>
      </c>
    </row>
    <row r="24">
      <c r="A24" s="5">
        <v>4</v>
      </c>
      <c r="B24" s="6">
        <v>1375</v>
      </c>
      <c r="C24" s="6">
        <v>988</v>
      </c>
      <c r="D24" s="6">
        <v>775</v>
      </c>
      <c r="E24" s="6">
        <v>8</v>
      </c>
      <c r="F24" s="7">
        <v>467.25</v>
      </c>
      <c r="G24" s="7">
        <v>180</v>
      </c>
      <c r="H24" s="7">
        <v>0.8400000000000001</v>
      </c>
      <c r="I24" s="3">
        <f>C24*F24*12</f>
      </c>
      <c r="J24" s="3">
        <f>D24*1900*1.05</f>
      </c>
      <c r="K24" s="3">
        <f>C24*G24*12*1.25*H24</f>
      </c>
      <c r="L24" s="3">
        <f>I24+J24+K24</f>
      </c>
      <c r="M24" s="3">
        <f>(I24+J24)*0.11*0.92</f>
      </c>
      <c r="N24" s="3">
        <f>C24*G24*12*1.25*0.5*0.92</f>
      </c>
      <c r="O24" s="3">
        <f>L24-M24-N24</f>
      </c>
      <c r="P24" s="6">
        <v>20</v>
      </c>
      <c r="Q24" s="3">
        <f>P24*100000*1.08</f>
      </c>
      <c r="R24" s="7">
        <v>1134000.0</v>
      </c>
      <c r="S24" s="3">
        <f>O24-Q24-R24</f>
      </c>
      <c r="T24" s="7">
        <v>0</v>
      </c>
      <c r="U24" s="3">
        <f>U23+S24</f>
      </c>
    </row>
    <row r="25">
      <c r="A25" s="5">
        <v>5</v>
      </c>
      <c r="B25" s="6">
        <v>2750</v>
      </c>
      <c r="C25" s="6">
        <v>2062</v>
      </c>
      <c r="D25" s="6">
        <v>1375</v>
      </c>
      <c r="E25" s="6">
        <v>8</v>
      </c>
      <c r="F25" s="7">
        <v>493.5</v>
      </c>
      <c r="G25" s="7">
        <v>250</v>
      </c>
      <c r="H25" s="7">
        <v>0.7875000000000001</v>
      </c>
      <c r="I25" s="3">
        <f>C25*F25*12</f>
      </c>
      <c r="J25" s="3">
        <f>D25*2000*1.05</f>
      </c>
      <c r="K25" s="3">
        <f>C25*G25*12*1.25*H25</f>
      </c>
      <c r="L25" s="3">
        <f>I25+J25+K25</f>
      </c>
      <c r="M25" s="3">
        <f>(I25+J25)*0.1*0.92</f>
      </c>
      <c r="N25" s="3">
        <f>C25*G25*12*1.25*0.45*0.92</f>
      </c>
      <c r="O25" s="3">
        <f>L25-M25-N25</f>
      </c>
      <c r="P25" s="6">
        <v>28</v>
      </c>
      <c r="Q25" s="3">
        <f>P25*105000*1.08</f>
      </c>
      <c r="R25" s="7">
        <v>1620000.0</v>
      </c>
      <c r="S25" s="3">
        <f>O25-Q25-R25</f>
      </c>
      <c r="T25" s="7">
        <v>0</v>
      </c>
      <c r="U25" s="3">
        <f>U24+S25</f>
      </c>
    </row>
  </sheetData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1" topLeftCell="A5" activePane="bottomLeft" state="frozen"/>
    </sheetView>
  </sheetViews>
  <cols>
    <col min="1" max="1" width="8" customWidth="1"/>
    <col min="2" max="2" width="18" customWidth="1"/>
    <col min="3" max="3" width="18" customWidth="1"/>
    <col min="4" max="4" width="14" customWidth="1"/>
    <col min="5" max="5" width="14" customWidth="1"/>
    <col min="6" max="6" width="20" customWidth="1"/>
    <col min="7" max="7" width="20" customWidth="1"/>
    <col min="8" max="8" width="18" customWidth="1"/>
    <col min="9" max="9" width="20" customWidth="1"/>
    <col min="10" max="10" width="18" customWidth="1"/>
    <col min="11" max="11" width="18" customWidth="1"/>
    <col min="12" max="12" width="18" customWidth="1"/>
    <col min="13" max="13" width="18" customWidth="1"/>
    <col min="14" max="14" width="20" customWidth="1"/>
    <col min="15" max="15" width="18" customWidth="1"/>
    <col min="16" max="16" width="12" customWidth="1"/>
    <col min="17" max="17" width="18" customWidth="1"/>
    <col min="18" max="18" width="16" customWidth="1"/>
    <col min="19" max="19" width="18" customWidth="1"/>
    <col min="20" max="20" width="18" customWidth="1"/>
    <col min="21" max="21" width="22" customWidth="1"/>
  </cols>
  <sheetData>
    <row r="1">
      <c r="A1" s="1" t="inlineStr">
        <is>
          <t>Valtakunnallinen kuluttaja- ja pienyritysvirtuaalioperaattori</t>
        </is>
      </c>
    </row>
    <row r="3">
      <c r="A3" s="1" t="inlineStr">
        <is>
          <t>Heikko skenaario</t>
        </is>
      </c>
    </row>
    <row r="4" ht="42" customHeight="1">
      <c r="A4" s="2" t="inlineStr">
        <is>
          <t>Vuosi</t>
        </is>
      </c>
      <c r="B4" s="2" t="inlineStr">
        <is>
          <t>Asiakkaat vuoden lopussa</t>
        </is>
      </c>
      <c r="C4" s="2" t="inlineStr">
        <is>
          <t>Keskimääräiset asiakkaat</t>
        </is>
      </c>
      <c r="D4" s="2" t="inlineStr">
        <is>
          <t>Uudet asiakkaat</t>
        </is>
      </c>
      <c r="E4" s="2" t="inlineStr">
        <is>
          <t>Käyttäjät / asiakas</t>
        </is>
      </c>
      <c r="F4" s="2" t="inlineStr">
        <is>
          <t>Jatkuva palvelu / asiakas / kk</t>
        </is>
      </c>
      <c r="G4" s="2" t="inlineStr">
        <is>
          <t>Tokenit miljoonaa / asiakas / kk</t>
        </is>
      </c>
      <c r="H4" s="2" t="inlineStr">
        <is>
          <t>Tokenhinta / miljoona</t>
        </is>
      </c>
      <c r="I4" s="2" t="inlineStr">
        <is>
          <t>Jatkuvan palvelun liikevaihto</t>
        </is>
      </c>
      <c r="J4" s="2" t="inlineStr">
        <is>
          <t>Käyttöönotot</t>
        </is>
      </c>
      <c r="K4" s="2" t="inlineStr">
        <is>
          <t>Tokenliikevaihto</t>
        </is>
      </c>
      <c r="L4" s="2" t="inlineStr">
        <is>
          <t>Liikevaihto</t>
        </is>
      </c>
      <c r="M4" s="2" t="inlineStr">
        <is>
          <t>Suorat palvelukulut</t>
        </is>
      </c>
      <c r="N4" s="2" t="inlineStr">
        <is>
          <t>Tokenien tukkukustannus</t>
        </is>
      </c>
      <c r="O4" s="2" t="inlineStr">
        <is>
          <t>Myyntikate</t>
        </is>
      </c>
      <c r="P4" s="2" t="inlineStr">
        <is>
          <t>Henkilöstö</t>
        </is>
      </c>
      <c r="Q4" s="2" t="inlineStr">
        <is>
          <t>Henkilökustannus</t>
        </is>
      </c>
      <c r="R4" s="2" t="inlineStr">
        <is>
          <t>Kiinteät kulut</t>
        </is>
      </c>
      <c r="S4" s="2" t="inlineStr">
        <is>
          <t>Käyttökate</t>
        </is>
      </c>
      <c r="T4" s="2" t="inlineStr">
        <is>
          <t>Alkuinvestointi</t>
        </is>
      </c>
      <c r="U4" s="2" t="inlineStr">
        <is>
          <t>Kumulatiivinen kassa</t>
        </is>
      </c>
    </row>
    <row r="5">
      <c r="A5" s="5">
        <v>1</v>
      </c>
      <c r="B5" s="6">
        <v>7000</v>
      </c>
      <c r="C5" s="6">
        <v>3500</v>
      </c>
      <c r="D5" s="6">
        <v>7000</v>
      </c>
      <c r="E5" s="6">
        <v>1</v>
      </c>
      <c r="F5" s="7">
        <v>10.8</v>
      </c>
      <c r="G5" s="7">
        <v>10</v>
      </c>
      <c r="H5" s="7">
        <v>0.855</v>
      </c>
      <c r="I5" s="3">
        <f>C5*F5*12</f>
      </c>
      <c r="J5" s="3">
        <f>D5*0*0.9</f>
      </c>
      <c r="K5" s="3">
        <f>C5*G5*12*0.7*H5</f>
      </c>
      <c r="L5" s="3">
        <f>I5+J5+K5</f>
      </c>
      <c r="M5" s="3">
        <f>(I5+J5)*0.16*1.12</f>
      </c>
      <c r="N5" s="3">
        <f>C5*G5*12*0.7*0.65*1.12</f>
      </c>
      <c r="O5" s="3">
        <f>L5-M5-N5</f>
      </c>
      <c r="P5" s="6">
        <v>15</v>
      </c>
      <c r="Q5" s="3">
        <f>P5*95000*1.05</f>
      </c>
      <c r="R5" s="7">
        <v>1650000.0000000002</v>
      </c>
      <c r="S5" s="3">
        <f>O5-Q5-R5</f>
      </c>
      <c r="T5" s="7">
        <v>2200000.0</v>
      </c>
      <c r="U5" s="3">
        <f>S5-2200000.0</f>
      </c>
    </row>
    <row r="6">
      <c r="A6" s="5">
        <v>2</v>
      </c>
      <c r="B6" s="6">
        <v>21000</v>
      </c>
      <c r="C6" s="6">
        <v>14000</v>
      </c>
      <c r="D6" s="6">
        <v>15400</v>
      </c>
      <c r="E6" s="6">
        <v>1</v>
      </c>
      <c r="F6" s="7">
        <v>11.700000000000001</v>
      </c>
      <c r="G6" s="7">
        <v>15</v>
      </c>
      <c r="H6" s="7">
        <v>0.81</v>
      </c>
      <c r="I6" s="3">
        <f>C6*F6*12</f>
      </c>
      <c r="J6" s="3">
        <f>D6*0*0.9</f>
      </c>
      <c r="K6" s="3">
        <f>C6*G6*12*0.7*H6</f>
      </c>
      <c r="L6" s="3">
        <f>I6+J6+K6</f>
      </c>
      <c r="M6" s="3">
        <f>(I6+J6)*0.15*1.12</f>
      </c>
      <c r="N6" s="3">
        <f>C6*G6*12*0.7*0.6*1.12</f>
      </c>
      <c r="O6" s="3">
        <f>L6-M6-N6</f>
      </c>
      <c r="P6" s="6">
        <v>28</v>
      </c>
      <c r="Q6" s="3">
        <f>P6*98000*1.05</f>
      </c>
      <c r="R6" s="7">
        <v>3080000.0000000005</v>
      </c>
      <c r="S6" s="3">
        <f>O6-Q6-R6</f>
      </c>
      <c r="T6" s="7">
        <v>0</v>
      </c>
      <c r="U6" s="3">
        <f>U5+S6</f>
      </c>
    </row>
    <row r="7">
      <c r="A7" s="5">
        <v>3</v>
      </c>
      <c r="B7" s="6">
        <v>49000</v>
      </c>
      <c r="C7" s="6">
        <v>35000</v>
      </c>
      <c r="D7" s="6">
        <v>31500</v>
      </c>
      <c r="E7" s="6">
        <v>1</v>
      </c>
      <c r="F7" s="7">
        <v>12.15</v>
      </c>
      <c r="G7" s="7">
        <v>20</v>
      </c>
      <c r="H7" s="7">
        <v>0.765</v>
      </c>
      <c r="I7" s="3">
        <f>C7*F7*12</f>
      </c>
      <c r="J7" s="3">
        <f>D7*0*0.9</f>
      </c>
      <c r="K7" s="3">
        <f>C7*G7*12*0.7*H7</f>
      </c>
      <c r="L7" s="3">
        <f>I7+J7+K7</f>
      </c>
      <c r="M7" s="3">
        <f>(I7+J7)*0.14*1.12</f>
      </c>
      <c r="N7" s="3">
        <f>C7*G7*12*0.7*0.55*1.12</f>
      </c>
      <c r="O7" s="3">
        <f>L7-M7-N7</f>
      </c>
      <c r="P7" s="6">
        <v>45</v>
      </c>
      <c r="Q7" s="3">
        <f>P7*101000*1.05</f>
      </c>
      <c r="R7" s="7">
        <v>4950000.0</v>
      </c>
      <c r="S7" s="3">
        <f>O7-Q7-R7</f>
      </c>
      <c r="T7" s="7">
        <v>0</v>
      </c>
      <c r="U7" s="3">
        <f>U6+S7</f>
      </c>
    </row>
    <row r="8">
      <c r="A8" s="5">
        <v>4</v>
      </c>
      <c r="B8" s="6">
        <v>98000</v>
      </c>
      <c r="C8" s="6">
        <v>73500</v>
      </c>
      <c r="D8" s="6">
        <v>56000</v>
      </c>
      <c r="E8" s="6">
        <v>1</v>
      </c>
      <c r="F8" s="7">
        <v>12.6</v>
      </c>
      <c r="G8" s="7">
        <v>25</v>
      </c>
      <c r="H8" s="7">
        <v>0.7200000000000001</v>
      </c>
      <c r="I8" s="3">
        <f>C8*F8*12</f>
      </c>
      <c r="J8" s="3">
        <f>D8*0*0.9</f>
      </c>
      <c r="K8" s="3">
        <f>C8*G8*12*0.7*H8</f>
      </c>
      <c r="L8" s="3">
        <f>I8+J8+K8</f>
      </c>
      <c r="M8" s="3">
        <f>(I8+J8)*0.13*1.12</f>
      </c>
      <c r="N8" s="3">
        <f>C8*G8*12*0.7*0.5*1.12</f>
      </c>
      <c r="O8" s="3">
        <f>L8-M8-N8</f>
      </c>
      <c r="P8" s="6">
        <v>70</v>
      </c>
      <c r="Q8" s="3">
        <f>P8*104000*1.05</f>
      </c>
      <c r="R8" s="7">
        <v>7150000.000000001</v>
      </c>
      <c r="S8" s="3">
        <f>O8-Q8-R8</f>
      </c>
      <c r="T8" s="7">
        <v>0</v>
      </c>
      <c r="U8" s="3">
        <f>U7+S8</f>
      </c>
    </row>
    <row r="9">
      <c r="A9" s="5">
        <v>5</v>
      </c>
      <c r="B9" s="6">
        <v>168000</v>
      </c>
      <c r="C9" s="6">
        <v>133000</v>
      </c>
      <c r="D9" s="6">
        <v>84000</v>
      </c>
      <c r="E9" s="6">
        <v>1</v>
      </c>
      <c r="F9" s="7">
        <v>12.6</v>
      </c>
      <c r="G9" s="7">
        <v>30</v>
      </c>
      <c r="H9" s="7">
        <v>0.675</v>
      </c>
      <c r="I9" s="3">
        <f>C9*F9*12</f>
      </c>
      <c r="J9" s="3">
        <f>D9*0*0.9</f>
      </c>
      <c r="K9" s="3">
        <f>C9*G9*12*0.7*H9</f>
      </c>
      <c r="L9" s="3">
        <f>I9+J9+K9</f>
      </c>
      <c r="M9" s="3">
        <f>(I9+J9)*0.12*1.12</f>
      </c>
      <c r="N9" s="3">
        <f>C9*G9*12*0.7*0.45*1.12</f>
      </c>
      <c r="O9" s="3">
        <f>L9-M9-N9</f>
      </c>
      <c r="P9" s="6">
        <v>100</v>
      </c>
      <c r="Q9" s="3">
        <f>P9*108000*1.05</f>
      </c>
      <c r="R9" s="7">
        <v>9900000.0</v>
      </c>
      <c r="S9" s="3">
        <f>O9-Q9-R9</f>
      </c>
      <c r="T9" s="7">
        <v>0</v>
      </c>
      <c r="U9" s="3">
        <f>U8+S9</f>
      </c>
    </row>
    <row r="11">
      <c r="A11" s="1" t="inlineStr">
        <is>
          <t>Perus skenaario</t>
        </is>
      </c>
    </row>
    <row r="12" ht="42" customHeight="1">
      <c r="A12" s="2" t="inlineStr">
        <is>
          <t>Vuosi</t>
        </is>
      </c>
      <c r="B12" s="2" t="inlineStr">
        <is>
          <t>Asiakkaat vuoden lopussa</t>
        </is>
      </c>
      <c r="C12" s="2" t="inlineStr">
        <is>
          <t>Keskimääräiset asiakkaat</t>
        </is>
      </c>
      <c r="D12" s="2" t="inlineStr">
        <is>
          <t>Uudet asiakkaat</t>
        </is>
      </c>
      <c r="E12" s="2" t="inlineStr">
        <is>
          <t>Käyttäjät / asiakas</t>
        </is>
      </c>
      <c r="F12" s="2" t="inlineStr">
        <is>
          <t>Jatkuva palvelu / asiakas / kk</t>
        </is>
      </c>
      <c r="G12" s="2" t="inlineStr">
        <is>
          <t>Tokenit miljoonaa / asiakas / kk</t>
        </is>
      </c>
      <c r="H12" s="2" t="inlineStr">
        <is>
          <t>Tokenhinta / miljoona</t>
        </is>
      </c>
      <c r="I12" s="2" t="inlineStr">
        <is>
          <t>Jatkuvan palvelun liikevaihto</t>
        </is>
      </c>
      <c r="J12" s="2" t="inlineStr">
        <is>
          <t>Käyttöönotot</t>
        </is>
      </c>
      <c r="K12" s="2" t="inlineStr">
        <is>
          <t>Tokenliikevaihto</t>
        </is>
      </c>
      <c r="L12" s="2" t="inlineStr">
        <is>
          <t>Liikevaihto</t>
        </is>
      </c>
      <c r="M12" s="2" t="inlineStr">
        <is>
          <t>Suorat palvelukulut</t>
        </is>
      </c>
      <c r="N12" s="2" t="inlineStr">
        <is>
          <t>Tokenien tukkukustannus</t>
        </is>
      </c>
      <c r="O12" s="2" t="inlineStr">
        <is>
          <t>Myyntikate</t>
        </is>
      </c>
      <c r="P12" s="2" t="inlineStr">
        <is>
          <t>Henkilöstö</t>
        </is>
      </c>
      <c r="Q12" s="2" t="inlineStr">
        <is>
          <t>Henkilökustannus</t>
        </is>
      </c>
      <c r="R12" s="2" t="inlineStr">
        <is>
          <t>Kiinteät kulut</t>
        </is>
      </c>
      <c r="S12" s="2" t="inlineStr">
        <is>
          <t>Käyttökate</t>
        </is>
      </c>
      <c r="T12" s="2" t="inlineStr">
        <is>
          <t>Alkuinvestointi</t>
        </is>
      </c>
      <c r="U12" s="2" t="inlineStr">
        <is>
          <t>Kumulatiivinen kassa</t>
        </is>
      </c>
    </row>
    <row r="13">
      <c r="A13" s="5">
        <v>1</v>
      </c>
      <c r="B13" s="6">
        <v>10000</v>
      </c>
      <c r="C13" s="6">
        <v>5000</v>
      </c>
      <c r="D13" s="6">
        <v>10000</v>
      </c>
      <c r="E13" s="6">
        <v>1</v>
      </c>
      <c r="F13" s="7">
        <v>12.0</v>
      </c>
      <c r="G13" s="7">
        <v>10</v>
      </c>
      <c r="H13" s="7">
        <v>0.95</v>
      </c>
      <c r="I13" s="3">
        <f>C13*F13*12</f>
      </c>
      <c r="J13" s="3">
        <f>D13*0*1.0</f>
      </c>
      <c r="K13" s="3">
        <f>C13*G13*12*1.0*H13</f>
      </c>
      <c r="L13" s="3">
        <f>I13+J13+K13</f>
      </c>
      <c r="M13" s="3">
        <f>(I13+J13)*0.16*1.0</f>
      </c>
      <c r="N13" s="3">
        <f>C13*G13*12*1.0*0.65*1.0</f>
      </c>
      <c r="O13" s="3">
        <f>L13-M13-N13</f>
      </c>
      <c r="P13" s="6">
        <v>15</v>
      </c>
      <c r="Q13" s="3">
        <f>P13*95000*1.0</f>
      </c>
      <c r="R13" s="7">
        <v>1500000.0</v>
      </c>
      <c r="S13" s="3">
        <f>O13-Q13-R13</f>
      </c>
      <c r="T13" s="7">
        <v>2000000.0</v>
      </c>
      <c r="U13" s="3">
        <f>S13-2000000.0</f>
      </c>
    </row>
    <row r="14">
      <c r="A14" s="5">
        <v>2</v>
      </c>
      <c r="B14" s="6">
        <v>30000</v>
      </c>
      <c r="C14" s="6">
        <v>20000</v>
      </c>
      <c r="D14" s="6">
        <v>22000</v>
      </c>
      <c r="E14" s="6">
        <v>1</v>
      </c>
      <c r="F14" s="7">
        <v>13.0</v>
      </c>
      <c r="G14" s="7">
        <v>15</v>
      </c>
      <c r="H14" s="7">
        <v>0.9</v>
      </c>
      <c r="I14" s="3">
        <f>C14*F14*12</f>
      </c>
      <c r="J14" s="3">
        <f>D14*0*1.0</f>
      </c>
      <c r="K14" s="3">
        <f>C14*G14*12*1.0*H14</f>
      </c>
      <c r="L14" s="3">
        <f>I14+J14+K14</f>
      </c>
      <c r="M14" s="3">
        <f>(I14+J14)*0.15*1.0</f>
      </c>
      <c r="N14" s="3">
        <f>C14*G14*12*1.0*0.6*1.0</f>
      </c>
      <c r="O14" s="3">
        <f>L14-M14-N14</f>
      </c>
      <c r="P14" s="6">
        <v>28</v>
      </c>
      <c r="Q14" s="3">
        <f>P14*98000*1.0</f>
      </c>
      <c r="R14" s="7">
        <v>2800000.0</v>
      </c>
      <c r="S14" s="3">
        <f>O14-Q14-R14</f>
      </c>
      <c r="T14" s="7">
        <v>0</v>
      </c>
      <c r="U14" s="3">
        <f>U13+S14</f>
      </c>
    </row>
    <row r="15">
      <c r="A15" s="5">
        <v>3</v>
      </c>
      <c r="B15" s="6">
        <v>70000</v>
      </c>
      <c r="C15" s="6">
        <v>50000</v>
      </c>
      <c r="D15" s="6">
        <v>45000</v>
      </c>
      <c r="E15" s="6">
        <v>1</v>
      </c>
      <c r="F15" s="7">
        <v>13.5</v>
      </c>
      <c r="G15" s="7">
        <v>20</v>
      </c>
      <c r="H15" s="7">
        <v>0.85</v>
      </c>
      <c r="I15" s="3">
        <f>C15*F15*12</f>
      </c>
      <c r="J15" s="3">
        <f>D15*0*1.0</f>
      </c>
      <c r="K15" s="3">
        <f>C15*G15*12*1.0*H15</f>
      </c>
      <c r="L15" s="3">
        <f>I15+J15+K15</f>
      </c>
      <c r="M15" s="3">
        <f>(I15+J15)*0.14*1.0</f>
      </c>
      <c r="N15" s="3">
        <f>C15*G15*12*1.0*0.55*1.0</f>
      </c>
      <c r="O15" s="3">
        <f>L15-M15-N15</f>
      </c>
      <c r="P15" s="6">
        <v>45</v>
      </c>
      <c r="Q15" s="3">
        <f>P15*101000*1.0</f>
      </c>
      <c r="R15" s="7">
        <v>4500000.0</v>
      </c>
      <c r="S15" s="3">
        <f>O15-Q15-R15</f>
      </c>
      <c r="T15" s="7">
        <v>0</v>
      </c>
      <c r="U15" s="3">
        <f>U14+S15</f>
      </c>
    </row>
    <row r="16">
      <c r="A16" s="5">
        <v>4</v>
      </c>
      <c r="B16" s="6">
        <v>140000</v>
      </c>
      <c r="C16" s="6">
        <v>105000</v>
      </c>
      <c r="D16" s="6">
        <v>80000</v>
      </c>
      <c r="E16" s="6">
        <v>1</v>
      </c>
      <c r="F16" s="7">
        <v>14.0</v>
      </c>
      <c r="G16" s="7">
        <v>25</v>
      </c>
      <c r="H16" s="7">
        <v>0.8</v>
      </c>
      <c r="I16" s="3">
        <f>C16*F16*12</f>
      </c>
      <c r="J16" s="3">
        <f>D16*0*1.0</f>
      </c>
      <c r="K16" s="3">
        <f>C16*G16*12*1.0*H16</f>
      </c>
      <c r="L16" s="3">
        <f>I16+J16+K16</f>
      </c>
      <c r="M16" s="3">
        <f>(I16+J16)*0.13*1.0</f>
      </c>
      <c r="N16" s="3">
        <f>C16*G16*12*1.0*0.5*1.0</f>
      </c>
      <c r="O16" s="3">
        <f>L16-M16-N16</f>
      </c>
      <c r="P16" s="6">
        <v>70</v>
      </c>
      <c r="Q16" s="3">
        <f>P16*104000*1.0</f>
      </c>
      <c r="R16" s="7">
        <v>6500000.0</v>
      </c>
      <c r="S16" s="3">
        <f>O16-Q16-R16</f>
      </c>
      <c r="T16" s="7">
        <v>0</v>
      </c>
      <c r="U16" s="3">
        <f>U15+S16</f>
      </c>
    </row>
    <row r="17">
      <c r="A17" s="5">
        <v>5</v>
      </c>
      <c r="B17" s="6">
        <v>240000</v>
      </c>
      <c r="C17" s="6">
        <v>190000</v>
      </c>
      <c r="D17" s="6">
        <v>120000</v>
      </c>
      <c r="E17" s="6">
        <v>1</v>
      </c>
      <c r="F17" s="7">
        <v>14.0</v>
      </c>
      <c r="G17" s="7">
        <v>30</v>
      </c>
      <c r="H17" s="7">
        <v>0.75</v>
      </c>
      <c r="I17" s="3">
        <f>C17*F17*12</f>
      </c>
      <c r="J17" s="3">
        <f>D17*0*1.0</f>
      </c>
      <c r="K17" s="3">
        <f>C17*G17*12*1.0*H17</f>
      </c>
      <c r="L17" s="3">
        <f>I17+J17+K17</f>
      </c>
      <c r="M17" s="3">
        <f>(I17+J17)*0.12*1.0</f>
      </c>
      <c r="N17" s="3">
        <f>C17*G17*12*1.0*0.45*1.0</f>
      </c>
      <c r="O17" s="3">
        <f>L17-M17-N17</f>
      </c>
      <c r="P17" s="6">
        <v>100</v>
      </c>
      <c r="Q17" s="3">
        <f>P17*108000*1.0</f>
      </c>
      <c r="R17" s="7">
        <v>9000000.0</v>
      </c>
      <c r="S17" s="3">
        <f>O17-Q17-R17</f>
      </c>
      <c r="T17" s="7">
        <v>0</v>
      </c>
      <c r="U17" s="3">
        <f>U16+S17</f>
      </c>
    </row>
    <row r="19">
      <c r="A19" s="1" t="inlineStr">
        <is>
          <t>Vahva skenaario</t>
        </is>
      </c>
    </row>
    <row r="20" ht="42" customHeight="1">
      <c r="A20" s="2" t="inlineStr">
        <is>
          <t>Vuosi</t>
        </is>
      </c>
      <c r="B20" s="2" t="inlineStr">
        <is>
          <t>Asiakkaat vuoden lopussa</t>
        </is>
      </c>
      <c r="C20" s="2" t="inlineStr">
        <is>
          <t>Keskimääräiset asiakkaat</t>
        </is>
      </c>
      <c r="D20" s="2" t="inlineStr">
        <is>
          <t>Uudet asiakkaat</t>
        </is>
      </c>
      <c r="E20" s="2" t="inlineStr">
        <is>
          <t>Käyttäjät / asiakas</t>
        </is>
      </c>
      <c r="F20" s="2" t="inlineStr">
        <is>
          <t>Jatkuva palvelu / asiakas / kk</t>
        </is>
      </c>
      <c r="G20" s="2" t="inlineStr">
        <is>
          <t>Tokenit miljoonaa / asiakas / kk</t>
        </is>
      </c>
      <c r="H20" s="2" t="inlineStr">
        <is>
          <t>Tokenhinta / miljoona</t>
        </is>
      </c>
      <c r="I20" s="2" t="inlineStr">
        <is>
          <t>Jatkuvan palvelun liikevaihto</t>
        </is>
      </c>
      <c r="J20" s="2" t="inlineStr">
        <is>
          <t>Käyttöönotot</t>
        </is>
      </c>
      <c r="K20" s="2" t="inlineStr">
        <is>
          <t>Tokenliikevaihto</t>
        </is>
      </c>
      <c r="L20" s="2" t="inlineStr">
        <is>
          <t>Liikevaihto</t>
        </is>
      </c>
      <c r="M20" s="2" t="inlineStr">
        <is>
          <t>Suorat palvelukulut</t>
        </is>
      </c>
      <c r="N20" s="2" t="inlineStr">
        <is>
          <t>Tokenien tukkukustannus</t>
        </is>
      </c>
      <c r="O20" s="2" t="inlineStr">
        <is>
          <t>Myyntikate</t>
        </is>
      </c>
      <c r="P20" s="2" t="inlineStr">
        <is>
          <t>Henkilöstö</t>
        </is>
      </c>
      <c r="Q20" s="2" t="inlineStr">
        <is>
          <t>Henkilökustannus</t>
        </is>
      </c>
      <c r="R20" s="2" t="inlineStr">
        <is>
          <t>Kiinteät kulut</t>
        </is>
      </c>
      <c r="S20" s="2" t="inlineStr">
        <is>
          <t>Käyttökate</t>
        </is>
      </c>
      <c r="T20" s="2" t="inlineStr">
        <is>
          <t>Alkuinvestointi</t>
        </is>
      </c>
      <c r="U20" s="2" t="inlineStr">
        <is>
          <t>Kumulatiivinen kassa</t>
        </is>
      </c>
    </row>
    <row r="21">
      <c r="A21" s="5">
        <v>1</v>
      </c>
      <c r="B21" s="6">
        <v>12500</v>
      </c>
      <c r="C21" s="6">
        <v>6250</v>
      </c>
      <c r="D21" s="6">
        <v>12500</v>
      </c>
      <c r="E21" s="6">
        <v>1</v>
      </c>
      <c r="F21" s="7">
        <v>12.600000000000001</v>
      </c>
      <c r="G21" s="7">
        <v>10</v>
      </c>
      <c r="H21" s="7">
        <v>0.9974999999999999</v>
      </c>
      <c r="I21" s="3">
        <f>C21*F21*12</f>
      </c>
      <c r="J21" s="3">
        <f>D21*0*1.05</f>
      </c>
      <c r="K21" s="3">
        <f>C21*G21*12*1.25*H21</f>
      </c>
      <c r="L21" s="3">
        <f>I21+J21+K21</f>
      </c>
      <c r="M21" s="3">
        <f>(I21+J21)*0.16*0.92</f>
      </c>
      <c r="N21" s="3">
        <f>C21*G21*12*1.25*0.65*0.92</f>
      </c>
      <c r="O21" s="3">
        <f>L21-M21-N21</f>
      </c>
      <c r="P21" s="6">
        <v>15</v>
      </c>
      <c r="Q21" s="3">
        <f>P21*95000*1.08</f>
      </c>
      <c r="R21" s="7">
        <v>1620000.0</v>
      </c>
      <c r="S21" s="3">
        <f>O21-Q21-R21</f>
      </c>
      <c r="T21" s="7">
        <v>1900000.0</v>
      </c>
      <c r="U21" s="3">
        <f>S21-1900000.0</f>
      </c>
    </row>
    <row r="22">
      <c r="A22" s="5">
        <v>2</v>
      </c>
      <c r="B22" s="6">
        <v>37500</v>
      </c>
      <c r="C22" s="6">
        <v>25000</v>
      </c>
      <c r="D22" s="6">
        <v>27500</v>
      </c>
      <c r="E22" s="6">
        <v>1</v>
      </c>
      <c r="F22" s="7">
        <v>13.65</v>
      </c>
      <c r="G22" s="7">
        <v>15</v>
      </c>
      <c r="H22" s="7">
        <v>0.9450000000000001</v>
      </c>
      <c r="I22" s="3">
        <f>C22*F22*12</f>
      </c>
      <c r="J22" s="3">
        <f>D22*0*1.05</f>
      </c>
      <c r="K22" s="3">
        <f>C22*G22*12*1.25*H22</f>
      </c>
      <c r="L22" s="3">
        <f>I22+J22+K22</f>
      </c>
      <c r="M22" s="3">
        <f>(I22+J22)*0.15*0.92</f>
      </c>
      <c r="N22" s="3">
        <f>C22*G22*12*1.25*0.6*0.92</f>
      </c>
      <c r="O22" s="3">
        <f>L22-M22-N22</f>
      </c>
      <c r="P22" s="6">
        <v>28</v>
      </c>
      <c r="Q22" s="3">
        <f>P22*98000*1.08</f>
      </c>
      <c r="R22" s="7">
        <v>3024000.0</v>
      </c>
      <c r="S22" s="3">
        <f>O22-Q22-R22</f>
      </c>
      <c r="T22" s="7">
        <v>0</v>
      </c>
      <c r="U22" s="3">
        <f>U21+S22</f>
      </c>
    </row>
    <row r="23">
      <c r="A23" s="5">
        <v>3</v>
      </c>
      <c r="B23" s="6">
        <v>87500</v>
      </c>
      <c r="C23" s="6">
        <v>62500</v>
      </c>
      <c r="D23" s="6">
        <v>56250</v>
      </c>
      <c r="E23" s="6">
        <v>1</v>
      </c>
      <c r="F23" s="7">
        <v>14.175</v>
      </c>
      <c r="G23" s="7">
        <v>20</v>
      </c>
      <c r="H23" s="7">
        <v>0.8925</v>
      </c>
      <c r="I23" s="3">
        <f>C23*F23*12</f>
      </c>
      <c r="J23" s="3">
        <f>D23*0*1.05</f>
      </c>
      <c r="K23" s="3">
        <f>C23*G23*12*1.25*H23</f>
      </c>
      <c r="L23" s="3">
        <f>I23+J23+K23</f>
      </c>
      <c r="M23" s="3">
        <f>(I23+J23)*0.14*0.92</f>
      </c>
      <c r="N23" s="3">
        <f>C23*G23*12*1.25*0.55*0.92</f>
      </c>
      <c r="O23" s="3">
        <f>L23-M23-N23</f>
      </c>
      <c r="P23" s="6">
        <v>45</v>
      </c>
      <c r="Q23" s="3">
        <f>P23*101000*1.08</f>
      </c>
      <c r="R23" s="7">
        <v>4860000.0</v>
      </c>
      <c r="S23" s="3">
        <f>O23-Q23-R23</f>
      </c>
      <c r="T23" s="7">
        <v>0</v>
      </c>
      <c r="U23" s="3">
        <f>U22+S23</f>
      </c>
    </row>
    <row r="24">
      <c r="A24" s="5">
        <v>4</v>
      </c>
      <c r="B24" s="6">
        <v>175000</v>
      </c>
      <c r="C24" s="6">
        <v>131250</v>
      </c>
      <c r="D24" s="6">
        <v>100000</v>
      </c>
      <c r="E24" s="6">
        <v>1</v>
      </c>
      <c r="F24" s="7">
        <v>14.700000000000001</v>
      </c>
      <c r="G24" s="7">
        <v>25</v>
      </c>
      <c r="H24" s="7">
        <v>0.8400000000000001</v>
      </c>
      <c r="I24" s="3">
        <f>C24*F24*12</f>
      </c>
      <c r="J24" s="3">
        <f>D24*0*1.05</f>
      </c>
      <c r="K24" s="3">
        <f>C24*G24*12*1.25*H24</f>
      </c>
      <c r="L24" s="3">
        <f>I24+J24+K24</f>
      </c>
      <c r="M24" s="3">
        <f>(I24+J24)*0.13*0.92</f>
      </c>
      <c r="N24" s="3">
        <f>C24*G24*12*1.25*0.5*0.92</f>
      </c>
      <c r="O24" s="3">
        <f>L24-M24-N24</f>
      </c>
      <c r="P24" s="6">
        <v>70</v>
      </c>
      <c r="Q24" s="3">
        <f>P24*104000*1.08</f>
      </c>
      <c r="R24" s="7">
        <v>7020000.0</v>
      </c>
      <c r="S24" s="3">
        <f>O24-Q24-R24</f>
      </c>
      <c r="T24" s="7">
        <v>0</v>
      </c>
      <c r="U24" s="3">
        <f>U23+S24</f>
      </c>
    </row>
    <row r="25">
      <c r="A25" s="5">
        <v>5</v>
      </c>
      <c r="B25" s="6">
        <v>300000</v>
      </c>
      <c r="C25" s="6">
        <v>237500</v>
      </c>
      <c r="D25" s="6">
        <v>150000</v>
      </c>
      <c r="E25" s="6">
        <v>1</v>
      </c>
      <c r="F25" s="7">
        <v>14.700000000000001</v>
      </c>
      <c r="G25" s="7">
        <v>30</v>
      </c>
      <c r="H25" s="7">
        <v>0.7875000000000001</v>
      </c>
      <c r="I25" s="3">
        <f>C25*F25*12</f>
      </c>
      <c r="J25" s="3">
        <f>D25*0*1.05</f>
      </c>
      <c r="K25" s="3">
        <f>C25*G25*12*1.25*H25</f>
      </c>
      <c r="L25" s="3">
        <f>I25+J25+K25</f>
      </c>
      <c r="M25" s="3">
        <f>(I25+J25)*0.12*0.92</f>
      </c>
      <c r="N25" s="3">
        <f>C25*G25*12*1.25*0.45*0.92</f>
      </c>
      <c r="O25" s="3">
        <f>L25-M25-N25</f>
      </c>
      <c r="P25" s="6">
        <v>100</v>
      </c>
      <c r="Q25" s="3">
        <f>P25*108000*1.08</f>
      </c>
      <c r="R25" s="7">
        <v>9720000.0</v>
      </c>
      <c r="S25" s="3">
        <f>O25-Q25-R25</f>
      </c>
      <c r="T25" s="7">
        <v>0</v>
      </c>
      <c r="U25" s="3">
        <f>U24+S25</f>
      </c>
    </row>
  </sheetData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1" topLeftCell="A3" activePane="bottomLeft" state="frozen"/>
    </sheetView>
  </sheetViews>
  <cols>
    <col min="1" max="1" width="48" customWidth="1"/>
    <col min="2" max="2" width="14" customWidth="1"/>
    <col min="3" max="3" width="22" customWidth="1"/>
    <col min="4" max="4" width="22" customWidth="1"/>
    <col min="5" max="5" width="24" customWidth="1"/>
    <col min="6" max="6" width="34" customWidth="1"/>
  </cols>
  <sheetData>
    <row r="1">
      <c r="A1" s="1" t="inlineStr">
        <is>
          <t>Skenaarioyhteenveto</t>
        </is>
      </c>
    </row>
    <row r="2">
      <c r="A2" s="2" t="inlineStr">
        <is>
          <t>Malli</t>
        </is>
      </c>
      <c r="B2" s="2" t="inlineStr">
        <is>
          <t>Skenaario</t>
        </is>
      </c>
      <c r="C2" s="2" t="inlineStr">
        <is>
          <t>Vuosi 5 liikevaihto</t>
        </is>
      </c>
      <c r="D2" s="2" t="inlineStr">
        <is>
          <t>Vuosi 5 käyttökate</t>
        </is>
      </c>
      <c r="E2" s="2" t="inlineStr">
        <is>
          <t>Syvin kumulatiivinen kassa</t>
        </is>
      </c>
      <c r="F2" s="2" t="inlineStr">
        <is>
          <t>Ensimmäinen positiivisen käyttökatteen vuosi</t>
        </is>
      </c>
    </row>
    <row r="3">
      <c r="A3" t="inlineStr">
        <is>
          <t>Pieni alueellinen tokenoperaattori</t>
        </is>
      </c>
      <c r="B3" t="inlineStr">
        <is>
          <t>Heikko</t>
        </is>
      </c>
      <c r="C3" s="3">
        <v>1525837.824</v>
      </c>
      <c r="D3" s="3">
        <v>-808229.4313472</v>
      </c>
      <c r="E3" s="3">
        <v>-6206561.913989631</v>
      </c>
      <c r="F3" t="inlineStr">
        <is>
          <t>ei viidessä vuodessa</t>
        </is>
      </c>
    </row>
    <row r="4">
      <c r="A4" t="inlineStr">
        <is>
          <t>Pieni alueellinen tokenoperaattori</t>
        </is>
      </c>
      <c r="B4" t="inlineStr">
        <is>
          <t>Perus</t>
        </is>
      </c>
      <c r="C4" s="3">
        <v>2825625.6</v>
      </c>
      <c r="D4" s="3">
        <v>550345.8559999999</v>
      </c>
      <c r="E4" s="3">
        <v>-2113229.839648</v>
      </c>
      <c r="F4">
        <v>3</v>
      </c>
    </row>
    <row r="5">
      <c r="A5" t="inlineStr">
        <is>
          <t>Pieni alueellinen tokenoperaattori</t>
        </is>
      </c>
      <c r="B5" t="inlineStr">
        <is>
          <t>Vahva</t>
        </is>
      </c>
      <c r="C5" s="3">
        <v>4132477.4400000004</v>
      </c>
      <c r="D5" s="3">
        <v>1689683.5322880005</v>
      </c>
      <c r="E5" s="3">
        <v>-429783.062208</v>
      </c>
      <c r="F5">
        <v>1</v>
      </c>
    </row>
    <row r="6">
      <c r="A6" t="inlineStr">
        <is>
          <t>Valtakunnallinen tokenoperaattori</t>
        </is>
      </c>
      <c r="B6" t="inlineStr">
        <is>
          <t>Heikko</t>
        </is>
      </c>
      <c r="C6" s="3">
        <v>18920389.0176</v>
      </c>
      <c r="D6" s="3">
        <v>-3658122.7710054396</v>
      </c>
      <c r="E6" s="3">
        <v>-58528932.74350551</v>
      </c>
      <c r="F6" t="inlineStr">
        <is>
          <t>ei viidessä vuodessa</t>
        </is>
      </c>
    </row>
    <row r="7">
      <c r="A7" t="inlineStr">
        <is>
          <t>Valtakunnallinen tokenoperaattori</t>
        </is>
      </c>
      <c r="B7" t="inlineStr">
        <is>
          <t>Perus</t>
        </is>
      </c>
      <c r="C7" s="3">
        <v>34876293.120000005</v>
      </c>
      <c r="D7" s="3">
        <v>12956722.237440009</v>
      </c>
      <c r="E7" s="3">
        <v>-13487905.27027199</v>
      </c>
      <c r="F7">
        <v>2</v>
      </c>
    </row>
    <row r="8">
      <c r="A8" t="inlineStr">
        <is>
          <t>Valtakunnallinen tokenoperaattori</t>
        </is>
      </c>
      <c r="B8" t="inlineStr">
        <is>
          <t>Vahva</t>
        </is>
      </c>
      <c r="C8" s="3">
        <v>50861260.8</v>
      </c>
      <c r="D8" s="3">
        <v>27536613.847039998</v>
      </c>
      <c r="E8" s="3">
        <v>-3613868.8317440003</v>
      </c>
      <c r="F8">
        <v>1</v>
      </c>
    </row>
    <row r="9">
      <c r="A9" t="inlineStr">
        <is>
          <t>Toimiala- tai osuuskuntapohjainen tieto-operaattori</t>
        </is>
      </c>
      <c r="B9" t="inlineStr">
        <is>
          <t>Heikko</t>
        </is>
      </c>
      <c r="C9" s="3">
        <v>3344706.0</v>
      </c>
      <c r="D9" s="3">
        <v>171795.392</v>
      </c>
      <c r="E9" s="3">
        <v>-1306672.8032</v>
      </c>
      <c r="F9">
        <v>5</v>
      </c>
    </row>
    <row r="10">
      <c r="A10" t="inlineStr">
        <is>
          <t>Toimiala- tai osuuskuntapohjainen tieto-operaattori</t>
        </is>
      </c>
      <c r="B10" t="inlineStr">
        <is>
          <t>Perus</t>
        </is>
      </c>
      <c r="C10" s="3">
        <v>5318400.0</v>
      </c>
      <c r="D10" s="3">
        <v>2060640.0</v>
      </c>
      <c r="E10" s="3">
        <v>-528162.4</v>
      </c>
      <c r="F10">
        <v>3</v>
      </c>
    </row>
    <row r="11">
      <c r="A11" t="inlineStr">
        <is>
          <t>Toimiala- tai osuuskuntapohjainen tieto-operaattori</t>
        </is>
      </c>
      <c r="B11" t="inlineStr">
        <is>
          <t>Vahva</t>
        </is>
      </c>
      <c r="C11" s="3">
        <v>6986196.0</v>
      </c>
      <c r="D11" s="3">
        <v>3365300.9519999996</v>
      </c>
      <c r="E11" s="3">
        <v>-416169.3632</v>
      </c>
      <c r="F11">
        <v>2</v>
      </c>
    </row>
    <row r="12">
      <c r="A12" t="inlineStr">
        <is>
          <t>Valtakunnallinen tieto-operaattori</t>
        </is>
      </c>
      <c r="B12" t="inlineStr">
        <is>
          <t>Heikko</t>
        </is>
      </c>
      <c r="C12" s="3">
        <v>31638600.0</v>
      </c>
      <c r="D12" s="3">
        <v>1061962.879999999</v>
      </c>
      <c r="E12" s="3">
        <v>-12053261.53696</v>
      </c>
      <c r="F12">
        <v>5</v>
      </c>
    </row>
    <row r="13">
      <c r="A13" t="inlineStr">
        <is>
          <t>Valtakunnallinen tieto-operaattori</t>
        </is>
      </c>
      <c r="B13" t="inlineStr">
        <is>
          <t>Perus</t>
        </is>
      </c>
      <c r="C13" s="3">
        <v>50220000.0</v>
      </c>
      <c r="D13" s="3">
        <v>18844800.0</v>
      </c>
      <c r="E13" s="3">
        <v>-4445476.0</v>
      </c>
      <c r="F13">
        <v>3</v>
      </c>
    </row>
    <row r="14">
      <c r="A14" t="inlineStr">
        <is>
          <t>Valtakunnallinen tieto-operaattori</t>
        </is>
      </c>
      <c r="B14" t="inlineStr">
        <is>
          <t>Vahva</t>
        </is>
      </c>
      <c r="C14" s="3">
        <v>65903292.0</v>
      </c>
      <c r="D14" s="3">
        <v>30995127.4176</v>
      </c>
      <c r="E14" s="3">
        <v>-3671712.02</v>
      </c>
      <c r="F14">
        <v>2</v>
      </c>
    </row>
    <row r="15">
      <c r="A15" t="inlineStr">
        <is>
          <t>Toimialakohtainen yhdistelmäoperaattori</t>
        </is>
      </c>
      <c r="B15" t="inlineStr">
        <is>
          <t>Heikko</t>
        </is>
      </c>
      <c r="C15" s="3">
        <v>5125636.8</v>
      </c>
      <c r="D15" s="3">
        <v>228372.0799999995</v>
      </c>
      <c r="E15" s="3">
        <v>-1854101.3856</v>
      </c>
      <c r="F15">
        <v>5</v>
      </c>
    </row>
    <row r="16">
      <c r="A16" t="inlineStr">
        <is>
          <t>Toimialakohtainen yhdistelmäoperaattori</t>
        </is>
      </c>
      <c r="B16" t="inlineStr">
        <is>
          <t>Perus</t>
        </is>
      </c>
      <c r="C16" s="3">
        <v>8610600.0</v>
      </c>
      <c r="D16" s="3">
        <v>3186850.0</v>
      </c>
      <c r="E16" s="3">
        <v>-734426.44</v>
      </c>
      <c r="F16">
        <v>3</v>
      </c>
    </row>
    <row r="17">
      <c r="A17" t="inlineStr">
        <is>
          <t>Toimialakohtainen yhdistelmäoperaattori</t>
        </is>
      </c>
      <c r="B17" t="inlineStr">
        <is>
          <t>Vahva</t>
        </is>
      </c>
      <c r="C17" s="3">
        <v>11813760.0</v>
      </c>
      <c r="D17" s="3">
        <v>5483889.359999999</v>
      </c>
      <c r="E17" s="3">
        <v>-594631.898</v>
      </c>
      <c r="F17">
        <v>2</v>
      </c>
    </row>
    <row r="18">
      <c r="A18" t="inlineStr">
        <is>
          <t>Valtakunnallinen yhdistelmäoperaattori</t>
        </is>
      </c>
      <c r="B18" t="inlineStr">
        <is>
          <t>Heikko</t>
        </is>
      </c>
      <c r="C18" s="3">
        <v>44171845.92</v>
      </c>
      <c r="D18" s="3">
        <v>4559473.224320002</v>
      </c>
      <c r="E18" s="3">
        <v>-14523469.5328</v>
      </c>
      <c r="F18">
        <v>5</v>
      </c>
    </row>
    <row r="19">
      <c r="A19" t="inlineStr">
        <is>
          <t>Valtakunnallinen yhdistelmäoperaattori</t>
        </is>
      </c>
      <c r="B19" t="inlineStr">
        <is>
          <t>Perus</t>
        </is>
      </c>
      <c r="C19" s="3">
        <v>73392400.0</v>
      </c>
      <c r="D19" s="3">
        <v>29956386.0</v>
      </c>
      <c r="E19" s="3">
        <v>-6651372.0</v>
      </c>
      <c r="F19">
        <v>3</v>
      </c>
    </row>
    <row r="20">
      <c r="A20" t="inlineStr">
        <is>
          <t>Valtakunnallinen yhdistelmäoperaattori</t>
        </is>
      </c>
      <c r="B20" t="inlineStr">
        <is>
          <t>Vahva</t>
        </is>
      </c>
      <c r="C20" s="3">
        <v>99894967.2</v>
      </c>
      <c r="D20" s="3">
        <v>49515037.66608</v>
      </c>
      <c r="E20" s="3">
        <v>-5968837.2792</v>
      </c>
      <c r="F20">
        <v>2</v>
      </c>
    </row>
    <row r="21">
      <c r="A21" t="inlineStr">
        <is>
          <t>Toimialakohtainen yritysvirtuaalioperaattori</t>
        </is>
      </c>
      <c r="B21" t="inlineStr">
        <is>
          <t>Heikko</t>
        </is>
      </c>
      <c r="C21" s="3">
        <v>8885992.5</v>
      </c>
      <c r="D21" s="3">
        <v>2114677.1399999997</v>
      </c>
      <c r="E21" s="3">
        <v>-2865711.5051200003</v>
      </c>
      <c r="F21">
        <v>5</v>
      </c>
    </row>
    <row r="22">
      <c r="A22" t="inlineStr">
        <is>
          <t>Toimialakohtainen yritysvirtuaalioperaattori</t>
        </is>
      </c>
      <c r="B22" t="inlineStr">
        <is>
          <t>Perus</t>
        </is>
      </c>
      <c r="C22" s="3">
        <v>15218500.0</v>
      </c>
      <c r="D22" s="3">
        <v>7400400.0</v>
      </c>
      <c r="E22" s="3">
        <v>-1349548.8</v>
      </c>
      <c r="F22">
        <v>3</v>
      </c>
    </row>
    <row r="23">
      <c r="A23" t="inlineStr">
        <is>
          <t>Toimialakohtainen yritysvirtuaalioperaattori</t>
        </is>
      </c>
      <c r="B23" t="inlineStr">
        <is>
          <t>Vahva</t>
        </is>
      </c>
      <c r="C23" s="3">
        <v>21188007.75</v>
      </c>
      <c r="D23" s="3">
        <v>11802475.662</v>
      </c>
      <c r="E23" s="3">
        <v>-1188025.47048</v>
      </c>
      <c r="F23">
        <v>3</v>
      </c>
    </row>
    <row r="24">
      <c r="A24" t="inlineStr">
        <is>
          <t>Valtakunnallinen kuluttaja- ja pienyritysvirtuaalioperaattori</t>
        </is>
      </c>
      <c r="B24" t="inlineStr">
        <is>
          <t>Heikko</t>
        </is>
      </c>
      <c r="C24" s="3">
        <v>42732900.0</v>
      </c>
      <c r="D24" s="3">
        <v>1898105.759999998</v>
      </c>
      <c r="E24" s="3">
        <v>-16391548.240000002</v>
      </c>
      <c r="F24">
        <v>5</v>
      </c>
    </row>
    <row r="25">
      <c r="A25" t="inlineStr">
        <is>
          <t>Valtakunnallinen kuluttaja- ja pienyritysvirtuaalioperaattori</t>
        </is>
      </c>
      <c r="B25" t="inlineStr">
        <is>
          <t>Perus</t>
        </is>
      </c>
      <c r="C25" s="3">
        <v>83220000.0</v>
      </c>
      <c r="D25" s="3">
        <v>28809600.0</v>
      </c>
      <c r="E25" s="3">
        <v>-5952200.0</v>
      </c>
      <c r="F25">
        <v>3</v>
      </c>
    </row>
    <row r="26">
      <c r="A26" t="inlineStr">
        <is>
          <t>Valtakunnallinen kuluttaja- ja pienyritysvirtuaalioperaattori</t>
        </is>
      </c>
      <c r="B26" t="inlineStr">
        <is>
          <t>Vahva</t>
        </is>
      </c>
      <c r="C26" s="3">
        <v>126059062.5</v>
      </c>
      <c r="D26" s="3">
        <v>55803604.5</v>
      </c>
      <c r="E26" s="3">
        <v>-4125577.75</v>
      </c>
      <c r="F26">
        <v>3</v>
      </c>
    </row>
  </sheetData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Tekoälytalous.fi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Tekoälyoperaattorimallien talousmallit</dc:title>
  <dc:creator>Tekoälytalous.fi</dc:creator>
  <cp:lastModifiedBy>process:tekoalytalous-market-lab</cp:lastModifiedBy>
  <dcterms:created xsi:type="dcterms:W3CDTF">2026-09-01T00:00:00Z</dcterms:created>
  <dcterms:modified xsi:type="dcterms:W3CDTF">2026-09-01T00:00:00Z</dcterms:modified>
</cp:coreProperties>
</file>